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 Osorno\Documents\Irma Jofre\Poblaciones\Percapita 2020\"/>
    </mc:Choice>
  </mc:AlternateContent>
  <bookViews>
    <workbookView xWindow="0" yWindow="0" windowWidth="24000" windowHeight="9735" tabRatio="834" activeTab="1"/>
  </bookViews>
  <sheets>
    <sheet name="AÑOS" sheetId="10" r:id="rId1"/>
    <sheet name="OSORNO" sheetId="1" r:id="rId2"/>
    <sheet name="PUERTO OCTAY" sheetId="4" r:id="rId3"/>
    <sheet name="PURRANQUE" sheetId="2" r:id="rId4"/>
    <sheet name="PUYEHUE" sheetId="6" r:id="rId5"/>
    <sheet name="RÍO NEGRO" sheetId="3" r:id="rId6"/>
    <sheet name="SAN JUAN COSTA" sheetId="8" r:id="rId7"/>
    <sheet name="SAN PABLO" sheetId="9" r:id="rId8"/>
  </sheets>
  <definedNames>
    <definedName name="_xlnm.Print_Area" localSheetId="1">OSORNO!$A$1:$J$219</definedName>
    <definedName name="_xlnm.Print_Area" localSheetId="2">'PUERTO OCTAY'!$A$1:$J$192</definedName>
    <definedName name="_xlnm.Print_Area" localSheetId="3">PURRANQUE!$B$1:$J$28</definedName>
    <definedName name="_xlnm.Print_Area" localSheetId="4">PUYEHUE!$B$1:$J$28</definedName>
    <definedName name="_xlnm.Print_Area" localSheetId="5">'RÍO NEGRO'!$B$1:$J$123</definedName>
    <definedName name="_xlnm.Print_Area" localSheetId="6">'SAN JUAN COSTA'!$B$1:$J$124</definedName>
    <definedName name="_xlnm.Print_Area" localSheetId="7">'SAN PABLO'!$B$1:$J$75</definedName>
    <definedName name="_xlnm.Print_Titles" localSheetId="1">OSORNO!$1:$6</definedName>
  </definedNames>
  <calcPr calcId="152511"/>
</workbook>
</file>

<file path=xl/calcChain.xml><?xml version="1.0" encoding="utf-8"?>
<calcChain xmlns="http://schemas.openxmlformats.org/spreadsheetml/2006/main">
  <c r="H74" i="9" l="1"/>
  <c r="H64" i="9"/>
  <c r="H65" i="9"/>
  <c r="H66" i="9"/>
  <c r="H67" i="9"/>
  <c r="H68" i="9"/>
  <c r="H69" i="9"/>
  <c r="H70" i="9"/>
  <c r="J66" i="9" s="1"/>
  <c r="H71" i="9"/>
  <c r="H72" i="9"/>
  <c r="H73" i="9"/>
  <c r="H63" i="9"/>
  <c r="J67" i="9"/>
  <c r="J64" i="9"/>
  <c r="J63" i="9"/>
  <c r="J61" i="9"/>
  <c r="I61" i="9"/>
  <c r="H61" i="9"/>
  <c r="H50" i="9"/>
  <c r="H40" i="9"/>
  <c r="H41" i="9"/>
  <c r="H42" i="9"/>
  <c r="H43" i="9"/>
  <c r="H44" i="9"/>
  <c r="H45" i="9"/>
  <c r="H46" i="9"/>
  <c r="J42" i="9" s="1"/>
  <c r="H47" i="9"/>
  <c r="H48" i="9"/>
  <c r="H49" i="9"/>
  <c r="H39" i="9"/>
  <c r="J43" i="9"/>
  <c r="J40" i="9"/>
  <c r="J39" i="9"/>
  <c r="J37" i="9"/>
  <c r="I37" i="9"/>
  <c r="H37" i="9"/>
  <c r="J19" i="9"/>
  <c r="J16" i="9"/>
  <c r="J15" i="9"/>
  <c r="J13" i="9"/>
  <c r="I13" i="9"/>
  <c r="H13" i="9"/>
  <c r="H26" i="8"/>
  <c r="H16" i="8"/>
  <c r="H17" i="8"/>
  <c r="H18" i="8"/>
  <c r="H19" i="8"/>
  <c r="H91" i="8" s="1"/>
  <c r="H20" i="8"/>
  <c r="H21" i="8"/>
  <c r="H22" i="8"/>
  <c r="H23" i="8"/>
  <c r="H95" i="8" s="1"/>
  <c r="H24" i="8"/>
  <c r="H25" i="8"/>
  <c r="H98" i="8"/>
  <c r="H15" i="8"/>
  <c r="H113" i="8"/>
  <c r="H114" i="8"/>
  <c r="H115" i="8"/>
  <c r="H116" i="8"/>
  <c r="H117" i="8"/>
  <c r="H118" i="8"/>
  <c r="H119" i="8"/>
  <c r="H120" i="8"/>
  <c r="H121" i="8"/>
  <c r="H122" i="8"/>
  <c r="H123" i="8"/>
  <c r="H112" i="8"/>
  <c r="H88" i="8"/>
  <c r="H89" i="8"/>
  <c r="H90" i="8"/>
  <c r="H92" i="8"/>
  <c r="H93" i="8"/>
  <c r="H94" i="8"/>
  <c r="H96" i="8"/>
  <c r="H97" i="8"/>
  <c r="H87" i="8"/>
  <c r="H49" i="8"/>
  <c r="H40" i="8"/>
  <c r="J116" i="8"/>
  <c r="J113" i="8"/>
  <c r="J112" i="8"/>
  <c r="J110" i="8"/>
  <c r="I110" i="8"/>
  <c r="H110" i="8"/>
  <c r="J91" i="8"/>
  <c r="J88" i="8"/>
  <c r="J87" i="8"/>
  <c r="J85" i="8"/>
  <c r="I85" i="8"/>
  <c r="H85" i="8"/>
  <c r="J67" i="8"/>
  <c r="J66" i="8"/>
  <c r="J64" i="8"/>
  <c r="J63" i="8"/>
  <c r="J61" i="8"/>
  <c r="I61" i="8"/>
  <c r="H61" i="8"/>
  <c r="J43" i="8"/>
  <c r="J42" i="8"/>
  <c r="J40" i="8"/>
  <c r="J39" i="8"/>
  <c r="J37" i="8"/>
  <c r="I37" i="8"/>
  <c r="H37" i="8"/>
  <c r="J19" i="8"/>
  <c r="J16" i="8"/>
  <c r="J15" i="8"/>
  <c r="J13" i="8"/>
  <c r="I13" i="8"/>
  <c r="H13" i="8"/>
  <c r="H26" i="3"/>
  <c r="H16" i="3"/>
  <c r="H17" i="3"/>
  <c r="H18" i="3"/>
  <c r="H19" i="3"/>
  <c r="H20" i="3"/>
  <c r="H21" i="3"/>
  <c r="H22" i="3"/>
  <c r="J18" i="3" s="1"/>
  <c r="H23" i="3"/>
  <c r="H24" i="3"/>
  <c r="H25" i="3"/>
  <c r="H15" i="3"/>
  <c r="J114" i="3"/>
  <c r="J113" i="3"/>
  <c r="J111" i="3"/>
  <c r="J110" i="3"/>
  <c r="J108" i="3"/>
  <c r="I108" i="3"/>
  <c r="H108" i="3"/>
  <c r="J91" i="3"/>
  <c r="J90" i="3"/>
  <c r="J88" i="3"/>
  <c r="J87" i="3"/>
  <c r="J85" i="3"/>
  <c r="I85" i="3"/>
  <c r="H85" i="3"/>
  <c r="J68" i="3"/>
  <c r="J67" i="3"/>
  <c r="J65" i="3"/>
  <c r="J64" i="3"/>
  <c r="J62" i="3"/>
  <c r="I62" i="3"/>
  <c r="H62" i="3"/>
  <c r="J45" i="3"/>
  <c r="J44" i="3"/>
  <c r="J42" i="3"/>
  <c r="J41" i="3"/>
  <c r="J39" i="3"/>
  <c r="I39" i="3"/>
  <c r="H39" i="3"/>
  <c r="J19" i="3"/>
  <c r="J16" i="3"/>
  <c r="J15" i="3"/>
  <c r="J13" i="3"/>
  <c r="I13" i="3"/>
  <c r="H13" i="3"/>
  <c r="J18" i="6"/>
  <c r="J19" i="6"/>
  <c r="J16" i="6"/>
  <c r="J15" i="6"/>
  <c r="J13" i="6"/>
  <c r="I13" i="6"/>
  <c r="H13" i="6"/>
  <c r="H25" i="2"/>
  <c r="H22" i="2"/>
  <c r="J18" i="2"/>
  <c r="J19" i="2"/>
  <c r="J16" i="2"/>
  <c r="J15" i="2"/>
  <c r="J13" i="2"/>
  <c r="I13" i="2"/>
  <c r="H13" i="2"/>
  <c r="H16" i="4"/>
  <c r="H17" i="4"/>
  <c r="H18" i="4"/>
  <c r="H19" i="4"/>
  <c r="H20" i="4"/>
  <c r="H21" i="4"/>
  <c r="H22" i="4"/>
  <c r="H23" i="4"/>
  <c r="H24" i="4"/>
  <c r="H25" i="4"/>
  <c r="H26" i="4"/>
  <c r="H15" i="4"/>
  <c r="J19" i="4"/>
  <c r="J16" i="4"/>
  <c r="J15" i="4"/>
  <c r="J13" i="4"/>
  <c r="I13" i="4"/>
  <c r="H13" i="4"/>
  <c r="J183" i="4"/>
  <c r="J184" i="4"/>
  <c r="J181" i="4"/>
  <c r="J180" i="4"/>
  <c r="J178" i="4"/>
  <c r="I178" i="4"/>
  <c r="H178" i="4"/>
  <c r="J160" i="4"/>
  <c r="J161" i="4"/>
  <c r="J158" i="4"/>
  <c r="J157" i="4"/>
  <c r="J155" i="4"/>
  <c r="I155" i="4"/>
  <c r="H155" i="4"/>
  <c r="J114" i="4"/>
  <c r="J115" i="4"/>
  <c r="J112" i="4"/>
  <c r="J111" i="4"/>
  <c r="J109" i="4"/>
  <c r="I109" i="4"/>
  <c r="H109" i="4"/>
  <c r="J92" i="4"/>
  <c r="J91" i="4"/>
  <c r="J89" i="4"/>
  <c r="J88" i="4"/>
  <c r="J86" i="4"/>
  <c r="I86" i="4"/>
  <c r="H86" i="4"/>
  <c r="J68" i="4"/>
  <c r="J69" i="4"/>
  <c r="J66" i="4"/>
  <c r="J65" i="4"/>
  <c r="J63" i="4"/>
  <c r="I63" i="4"/>
  <c r="H63" i="4"/>
  <c r="J43" i="4"/>
  <c r="J44" i="4"/>
  <c r="J41" i="4"/>
  <c r="J40" i="4"/>
  <c r="J38" i="4"/>
  <c r="I38" i="4"/>
  <c r="H38" i="4"/>
  <c r="J137" i="4"/>
  <c r="J138" i="4"/>
  <c r="J135" i="4"/>
  <c r="J134" i="4"/>
  <c r="J132" i="4"/>
  <c r="I132" i="4"/>
  <c r="H132" i="4"/>
  <c r="H26" i="1"/>
  <c r="H16" i="1"/>
  <c r="H17" i="1"/>
  <c r="H18" i="1"/>
  <c r="H19" i="1"/>
  <c r="H20" i="1"/>
  <c r="H21" i="1"/>
  <c r="H22" i="1"/>
  <c r="H23" i="1"/>
  <c r="H24" i="1"/>
  <c r="H25" i="1"/>
  <c r="J15" i="1"/>
  <c r="H15" i="1"/>
  <c r="J16" i="1"/>
  <c r="J19" i="1"/>
  <c r="J18" i="1"/>
  <c r="H65" i="1"/>
  <c r="H50" i="1"/>
  <c r="H49" i="1"/>
  <c r="H48" i="1"/>
  <c r="H47" i="1"/>
  <c r="H45" i="1"/>
  <c r="H44" i="1"/>
  <c r="H42" i="1"/>
  <c r="H41" i="1"/>
  <c r="H40" i="1"/>
  <c r="H39" i="1"/>
  <c r="J211" i="1"/>
  <c r="J210" i="1"/>
  <c r="J208" i="1"/>
  <c r="J207" i="1"/>
  <c r="J205" i="1"/>
  <c r="I205" i="1"/>
  <c r="H205" i="1"/>
  <c r="J187" i="1"/>
  <c r="J186" i="1"/>
  <c r="J184" i="1"/>
  <c r="J183" i="1"/>
  <c r="J181" i="1"/>
  <c r="I181" i="1"/>
  <c r="H181" i="1"/>
  <c r="J163" i="1"/>
  <c r="J162" i="1"/>
  <c r="J160" i="1"/>
  <c r="J159" i="1"/>
  <c r="J157" i="1"/>
  <c r="I157" i="1"/>
  <c r="H157" i="1"/>
  <c r="J139" i="1"/>
  <c r="J138" i="1"/>
  <c r="J136" i="1"/>
  <c r="J135" i="1"/>
  <c r="J133" i="1"/>
  <c r="I133" i="1"/>
  <c r="H133" i="1"/>
  <c r="J115" i="1"/>
  <c r="J114" i="1"/>
  <c r="J112" i="1"/>
  <c r="J111" i="1"/>
  <c r="J109" i="1"/>
  <c r="I109" i="1"/>
  <c r="H109" i="1"/>
  <c r="J91" i="1"/>
  <c r="J90" i="1"/>
  <c r="J88" i="1"/>
  <c r="J87" i="1"/>
  <c r="I85" i="1"/>
  <c r="J85" i="1"/>
  <c r="H85" i="1"/>
  <c r="J67" i="1"/>
  <c r="J66" i="1"/>
  <c r="J64" i="1"/>
  <c r="J63" i="1"/>
  <c r="I61" i="1"/>
  <c r="J61" i="1"/>
  <c r="H61" i="1"/>
  <c r="E50" i="1"/>
  <c r="J90" i="8" l="1"/>
  <c r="J115" i="8"/>
  <c r="J18" i="4"/>
  <c r="C20" i="3" l="1"/>
  <c r="E20" i="3" s="1"/>
  <c r="D20" i="3"/>
  <c r="C21" i="3"/>
  <c r="D21" i="3"/>
  <c r="C22" i="3"/>
  <c r="D22" i="3"/>
  <c r="E22" i="3"/>
  <c r="C23" i="3"/>
  <c r="E23" i="3" s="1"/>
  <c r="D23" i="3"/>
  <c r="C24" i="3"/>
  <c r="D24" i="3"/>
  <c r="C25" i="3"/>
  <c r="E25" i="3" s="1"/>
  <c r="D25" i="3"/>
  <c r="C26" i="3"/>
  <c r="D26" i="3"/>
  <c r="E26" i="3"/>
  <c r="C11" i="3"/>
  <c r="D11" i="3"/>
  <c r="C12" i="3"/>
  <c r="D12" i="3"/>
  <c r="C13" i="3"/>
  <c r="D13" i="3"/>
  <c r="E13" i="3"/>
  <c r="C14" i="3"/>
  <c r="E14" i="3" s="1"/>
  <c r="D14" i="3"/>
  <c r="C15" i="3"/>
  <c r="D15" i="3"/>
  <c r="C16" i="3"/>
  <c r="D16" i="3"/>
  <c r="C17" i="3"/>
  <c r="D17" i="3"/>
  <c r="C18" i="3"/>
  <c r="E18" i="3" s="1"/>
  <c r="D18" i="3"/>
  <c r="C19" i="3"/>
  <c r="D19" i="3"/>
  <c r="E119" i="3"/>
  <c r="E120" i="3"/>
  <c r="E108" i="3"/>
  <c r="E109" i="3"/>
  <c r="E110" i="3"/>
  <c r="E111" i="3"/>
  <c r="E112" i="3"/>
  <c r="E113" i="3"/>
  <c r="E114" i="3"/>
  <c r="E115" i="3"/>
  <c r="E116" i="3"/>
  <c r="E117" i="3"/>
  <c r="E118" i="3"/>
  <c r="C46" i="8"/>
  <c r="D39" i="8"/>
  <c r="C36" i="8"/>
  <c r="C35" i="8"/>
  <c r="C39" i="8"/>
  <c r="D33" i="8"/>
  <c r="D68" i="1"/>
  <c r="C67" i="1"/>
  <c r="C57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C49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U6" i="10"/>
  <c r="U7" i="10"/>
  <c r="U8" i="10"/>
  <c r="U9" i="10"/>
  <c r="U10" i="10"/>
  <c r="U11" i="10"/>
  <c r="U5" i="10"/>
  <c r="T12" i="10"/>
  <c r="E17" i="3" l="1"/>
  <c r="E12" i="3"/>
  <c r="E15" i="3"/>
  <c r="E24" i="3"/>
  <c r="E19" i="3"/>
  <c r="E16" i="3"/>
  <c r="E11" i="3"/>
  <c r="E21" i="3"/>
  <c r="U12" i="10" l="1"/>
  <c r="S12" i="10"/>
  <c r="C10" i="3" l="1"/>
  <c r="D10" i="3"/>
  <c r="D9" i="3"/>
  <c r="C9" i="3"/>
  <c r="E95" i="3"/>
  <c r="E96" i="3"/>
  <c r="E97" i="3"/>
  <c r="D122" i="3" l="1"/>
  <c r="C122" i="3"/>
  <c r="E121" i="3"/>
  <c r="I107" i="3"/>
  <c r="H107" i="3"/>
  <c r="E107" i="3"/>
  <c r="I106" i="3"/>
  <c r="H106" i="3"/>
  <c r="E106" i="3"/>
  <c r="I105" i="3"/>
  <c r="H105" i="3"/>
  <c r="E105" i="3"/>
  <c r="I104" i="3"/>
  <c r="H104" i="3"/>
  <c r="E104" i="3"/>
  <c r="D99" i="3"/>
  <c r="C99" i="3"/>
  <c r="E98" i="3"/>
  <c r="E94" i="3"/>
  <c r="E93" i="3"/>
  <c r="E92" i="3"/>
  <c r="E91" i="3"/>
  <c r="E90" i="3"/>
  <c r="E89" i="3"/>
  <c r="E88" i="3"/>
  <c r="E87" i="3"/>
  <c r="E86" i="3"/>
  <c r="E85" i="3"/>
  <c r="I84" i="3"/>
  <c r="H84" i="3"/>
  <c r="E84" i="3"/>
  <c r="I83" i="3"/>
  <c r="H83" i="3"/>
  <c r="E83" i="3"/>
  <c r="I82" i="3"/>
  <c r="H82" i="3"/>
  <c r="E82" i="3"/>
  <c r="I81" i="3"/>
  <c r="H81" i="3"/>
  <c r="E81" i="3"/>
  <c r="D76" i="3"/>
  <c r="C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I61" i="3"/>
  <c r="H61" i="3"/>
  <c r="E61" i="3"/>
  <c r="I60" i="3"/>
  <c r="H60" i="3"/>
  <c r="E60" i="3"/>
  <c r="I59" i="3"/>
  <c r="H59" i="3"/>
  <c r="E59" i="3"/>
  <c r="I58" i="3"/>
  <c r="H58" i="3"/>
  <c r="E58" i="3"/>
  <c r="D53" i="3"/>
  <c r="C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I38" i="3"/>
  <c r="H38" i="3"/>
  <c r="E38" i="3"/>
  <c r="I37" i="3"/>
  <c r="H37" i="3"/>
  <c r="E37" i="3"/>
  <c r="I36" i="3"/>
  <c r="H36" i="3"/>
  <c r="E36" i="3"/>
  <c r="I35" i="3"/>
  <c r="H35" i="3"/>
  <c r="E35" i="3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D9" i="4"/>
  <c r="C9" i="4"/>
  <c r="D192" i="4"/>
  <c r="C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I177" i="4"/>
  <c r="H177" i="4"/>
  <c r="E177" i="4"/>
  <c r="I176" i="4"/>
  <c r="H176" i="4"/>
  <c r="E176" i="4"/>
  <c r="I175" i="4"/>
  <c r="H175" i="4"/>
  <c r="E175" i="4"/>
  <c r="I174" i="4"/>
  <c r="H174" i="4"/>
  <c r="E174" i="4"/>
  <c r="D169" i="4"/>
  <c r="C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I154" i="4"/>
  <c r="H154" i="4"/>
  <c r="E154" i="4"/>
  <c r="I153" i="4"/>
  <c r="H153" i="4"/>
  <c r="E153" i="4"/>
  <c r="I152" i="4"/>
  <c r="H152" i="4"/>
  <c r="E152" i="4"/>
  <c r="I151" i="4"/>
  <c r="H151" i="4"/>
  <c r="E151" i="4"/>
  <c r="D146" i="4"/>
  <c r="C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I131" i="4"/>
  <c r="H131" i="4"/>
  <c r="E131" i="4"/>
  <c r="I130" i="4"/>
  <c r="H130" i="4"/>
  <c r="E130" i="4"/>
  <c r="I129" i="4"/>
  <c r="H129" i="4"/>
  <c r="E129" i="4"/>
  <c r="I128" i="4"/>
  <c r="H128" i="4"/>
  <c r="E128" i="4"/>
  <c r="D123" i="4"/>
  <c r="C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I108" i="4"/>
  <c r="H108" i="4"/>
  <c r="E108" i="4"/>
  <c r="I107" i="4"/>
  <c r="H107" i="4"/>
  <c r="E107" i="4"/>
  <c r="I106" i="4"/>
  <c r="H106" i="4"/>
  <c r="E106" i="4"/>
  <c r="I105" i="4"/>
  <c r="H105" i="4"/>
  <c r="E105" i="4"/>
  <c r="D100" i="4"/>
  <c r="C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I85" i="4"/>
  <c r="H85" i="4"/>
  <c r="E85" i="4"/>
  <c r="I84" i="4"/>
  <c r="H84" i="4"/>
  <c r="E84" i="4"/>
  <c r="I83" i="4"/>
  <c r="H83" i="4"/>
  <c r="E83" i="4"/>
  <c r="I82" i="4"/>
  <c r="H82" i="4"/>
  <c r="E82" i="4"/>
  <c r="E76" i="4"/>
  <c r="E75" i="4"/>
  <c r="E74" i="4"/>
  <c r="E71" i="4"/>
  <c r="E70" i="4"/>
  <c r="E69" i="4"/>
  <c r="E67" i="4"/>
  <c r="E66" i="4"/>
  <c r="E65" i="4"/>
  <c r="E62" i="4"/>
  <c r="I60" i="4"/>
  <c r="J105" i="4" l="1"/>
  <c r="J38" i="3"/>
  <c r="J107" i="3"/>
  <c r="J36" i="3"/>
  <c r="J177" i="4"/>
  <c r="J106" i="3"/>
  <c r="J58" i="3"/>
  <c r="J37" i="3"/>
  <c r="J84" i="3"/>
  <c r="J83" i="3"/>
  <c r="J82" i="3"/>
  <c r="J61" i="3"/>
  <c r="J81" i="3"/>
  <c r="E53" i="3"/>
  <c r="E76" i="3"/>
  <c r="J60" i="3"/>
  <c r="E99" i="3"/>
  <c r="J35" i="3"/>
  <c r="J59" i="3"/>
  <c r="E122" i="3"/>
  <c r="J105" i="3"/>
  <c r="J104" i="3"/>
  <c r="J106" i="4"/>
  <c r="J84" i="4"/>
  <c r="J107" i="4"/>
  <c r="J153" i="4"/>
  <c r="J129" i="4"/>
  <c r="J174" i="4"/>
  <c r="J176" i="4"/>
  <c r="E192" i="4"/>
  <c r="J175" i="4"/>
  <c r="J154" i="4"/>
  <c r="E169" i="4"/>
  <c r="J152" i="4"/>
  <c r="J130" i="4"/>
  <c r="J131" i="4"/>
  <c r="J128" i="4"/>
  <c r="E146" i="4"/>
  <c r="J108" i="4"/>
  <c r="E123" i="4"/>
  <c r="J83" i="4"/>
  <c r="J85" i="4"/>
  <c r="E100" i="4"/>
  <c r="J82" i="4"/>
  <c r="J151" i="4"/>
  <c r="E73" i="4"/>
  <c r="E60" i="4"/>
  <c r="E63" i="4"/>
  <c r="E64" i="4"/>
  <c r="E72" i="4"/>
  <c r="H62" i="4"/>
  <c r="I61" i="4"/>
  <c r="H59" i="4"/>
  <c r="H61" i="4"/>
  <c r="D77" i="4"/>
  <c r="I59" i="4"/>
  <c r="E61" i="4"/>
  <c r="I62" i="4"/>
  <c r="H60" i="4"/>
  <c r="J60" i="4" s="1"/>
  <c r="E68" i="4"/>
  <c r="C77" i="4"/>
  <c r="E59" i="4"/>
  <c r="E39" i="1"/>
  <c r="J62" i="4" l="1"/>
  <c r="J59" i="4"/>
  <c r="J61" i="4"/>
  <c r="E77" i="4"/>
  <c r="C27" i="9" l="1"/>
  <c r="E13" i="2"/>
  <c r="R12" i="10"/>
  <c r="I81" i="1"/>
  <c r="H81" i="1"/>
  <c r="D14" i="1"/>
  <c r="Q12" i="10"/>
  <c r="D19" i="1"/>
  <c r="C13" i="1"/>
  <c r="D99" i="1"/>
  <c r="I33" i="1"/>
  <c r="D9" i="1"/>
  <c r="H33" i="1"/>
  <c r="H57" i="1"/>
  <c r="C75" i="8"/>
  <c r="C26" i="8"/>
  <c r="C123" i="8" s="1"/>
  <c r="H11" i="3"/>
  <c r="B1" i="9"/>
  <c r="B1" i="8"/>
  <c r="B1" i="3"/>
  <c r="B1" i="6"/>
  <c r="B1" i="2"/>
  <c r="B1" i="4"/>
  <c r="P12" i="10"/>
  <c r="P17" i="10" s="1"/>
  <c r="C9" i="1"/>
  <c r="D26" i="8"/>
  <c r="D98" i="8" s="1"/>
  <c r="E33" i="8"/>
  <c r="C51" i="8"/>
  <c r="D51" i="8"/>
  <c r="E50" i="8"/>
  <c r="D75" i="8"/>
  <c r="E74" i="8"/>
  <c r="C74" i="9"/>
  <c r="D74" i="9"/>
  <c r="D50" i="9"/>
  <c r="C50" i="9"/>
  <c r="D27" i="9"/>
  <c r="E26" i="9"/>
  <c r="D27" i="6"/>
  <c r="E26" i="6"/>
  <c r="C27" i="6"/>
  <c r="D27" i="4"/>
  <c r="E26" i="4"/>
  <c r="C27" i="4"/>
  <c r="C52" i="4"/>
  <c r="E51" i="4"/>
  <c r="D52" i="4"/>
  <c r="D27" i="3"/>
  <c r="C27" i="3"/>
  <c r="E26" i="2"/>
  <c r="C27" i="2"/>
  <c r="C219" i="1"/>
  <c r="C195" i="1"/>
  <c r="C171" i="1"/>
  <c r="C147" i="1"/>
  <c r="C123" i="1"/>
  <c r="C75" i="1"/>
  <c r="C26" i="1"/>
  <c r="D26" i="1"/>
  <c r="E74" i="1"/>
  <c r="E98" i="1"/>
  <c r="D123" i="1"/>
  <c r="E122" i="1"/>
  <c r="D147" i="1"/>
  <c r="E146" i="1"/>
  <c r="D171" i="1"/>
  <c r="E170" i="1"/>
  <c r="D195" i="1"/>
  <c r="E194" i="1"/>
  <c r="D219" i="1"/>
  <c r="E218" i="1"/>
  <c r="E9" i="6"/>
  <c r="E9" i="2"/>
  <c r="I12" i="2"/>
  <c r="I10" i="2"/>
  <c r="H12" i="2"/>
  <c r="H11" i="2"/>
  <c r="H10" i="2"/>
  <c r="C10" i="1"/>
  <c r="C11" i="1"/>
  <c r="D11" i="1"/>
  <c r="C12" i="1"/>
  <c r="D12" i="1"/>
  <c r="D13" i="1"/>
  <c r="C14" i="1"/>
  <c r="C15" i="1"/>
  <c r="D15" i="1"/>
  <c r="C16" i="1"/>
  <c r="D16" i="1"/>
  <c r="C17" i="1"/>
  <c r="D17" i="1"/>
  <c r="C18" i="1"/>
  <c r="D18" i="1"/>
  <c r="C19" i="1"/>
  <c r="C20" i="1"/>
  <c r="D20" i="1"/>
  <c r="C21" i="1"/>
  <c r="D21" i="1"/>
  <c r="C22" i="1"/>
  <c r="D22" i="1"/>
  <c r="C23" i="1"/>
  <c r="D23" i="1"/>
  <c r="C24" i="1"/>
  <c r="D24" i="1"/>
  <c r="C25" i="1"/>
  <c r="D25" i="1"/>
  <c r="O12" i="10"/>
  <c r="D10" i="8"/>
  <c r="D82" i="8" s="1"/>
  <c r="D11" i="8"/>
  <c r="D12" i="8"/>
  <c r="D84" i="8" s="1"/>
  <c r="D13" i="8"/>
  <c r="D14" i="8"/>
  <c r="D111" i="8" s="1"/>
  <c r="D15" i="8"/>
  <c r="D112" i="8" s="1"/>
  <c r="D16" i="8"/>
  <c r="D113" i="8" s="1"/>
  <c r="D17" i="8"/>
  <c r="D89" i="8" s="1"/>
  <c r="D18" i="8"/>
  <c r="D90" i="8" s="1"/>
  <c r="D19" i="8"/>
  <c r="D116" i="8" s="1"/>
  <c r="D20" i="8"/>
  <c r="D92" i="8" s="1"/>
  <c r="D21" i="8"/>
  <c r="D93" i="8" s="1"/>
  <c r="D22" i="8"/>
  <c r="D94" i="8" s="1"/>
  <c r="D23" i="8"/>
  <c r="D120" i="8" s="1"/>
  <c r="D24" i="8"/>
  <c r="D96" i="8" s="1"/>
  <c r="D25" i="8"/>
  <c r="D122" i="8" s="1"/>
  <c r="C25" i="8"/>
  <c r="C122" i="8" s="1"/>
  <c r="C24" i="8"/>
  <c r="C23" i="8"/>
  <c r="C120" i="8" s="1"/>
  <c r="C22" i="8"/>
  <c r="C21" i="8"/>
  <c r="C93" i="8" s="1"/>
  <c r="C20" i="8"/>
  <c r="C117" i="8" s="1"/>
  <c r="C19" i="8"/>
  <c r="C18" i="8"/>
  <c r="C90" i="8" s="1"/>
  <c r="C17" i="8"/>
  <c r="C16" i="8"/>
  <c r="C113" i="8" s="1"/>
  <c r="C15" i="8"/>
  <c r="C14" i="8"/>
  <c r="C111" i="8" s="1"/>
  <c r="C13" i="8"/>
  <c r="C85" i="8" s="1"/>
  <c r="C12" i="8"/>
  <c r="C84" i="8" s="1"/>
  <c r="C11" i="8"/>
  <c r="C83" i="8" s="1"/>
  <c r="C10" i="8"/>
  <c r="I33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I60" i="8"/>
  <c r="H60" i="8"/>
  <c r="E60" i="8"/>
  <c r="I59" i="8"/>
  <c r="H59" i="8"/>
  <c r="J59" i="8" s="1"/>
  <c r="E59" i="8"/>
  <c r="I58" i="8"/>
  <c r="H58" i="8"/>
  <c r="E58" i="8"/>
  <c r="I57" i="8"/>
  <c r="H57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I36" i="8"/>
  <c r="H36" i="8"/>
  <c r="E36" i="8"/>
  <c r="I35" i="8"/>
  <c r="H35" i="8"/>
  <c r="E35" i="8"/>
  <c r="I34" i="8"/>
  <c r="H34" i="8"/>
  <c r="E34" i="8"/>
  <c r="J40" i="1"/>
  <c r="J39" i="1"/>
  <c r="H34" i="1"/>
  <c r="D49" i="9"/>
  <c r="D48" i="9"/>
  <c r="C48" i="9"/>
  <c r="D47" i="9"/>
  <c r="C47" i="9"/>
  <c r="D46" i="9"/>
  <c r="C46" i="9"/>
  <c r="D45" i="9"/>
  <c r="C45" i="9"/>
  <c r="D44" i="9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H33" i="9" s="1"/>
  <c r="D73" i="9"/>
  <c r="D72" i="9"/>
  <c r="C72" i="9"/>
  <c r="D71" i="9"/>
  <c r="C71" i="9"/>
  <c r="D70" i="9"/>
  <c r="C70" i="9"/>
  <c r="D69" i="9"/>
  <c r="C69" i="9"/>
  <c r="D68" i="9"/>
  <c r="C68" i="9"/>
  <c r="D67" i="9"/>
  <c r="C67" i="9"/>
  <c r="D66" i="9"/>
  <c r="C66" i="9"/>
  <c r="D65" i="9"/>
  <c r="C65" i="9"/>
  <c r="D64" i="9"/>
  <c r="C64" i="9"/>
  <c r="D63" i="9"/>
  <c r="C63" i="9"/>
  <c r="D62" i="9"/>
  <c r="C62" i="9"/>
  <c r="D61" i="9"/>
  <c r="C61" i="9"/>
  <c r="D60" i="9"/>
  <c r="C60" i="9"/>
  <c r="D59" i="9"/>
  <c r="I58" i="9" s="1"/>
  <c r="C59" i="9"/>
  <c r="D58" i="9"/>
  <c r="C58" i="9"/>
  <c r="D57" i="9"/>
  <c r="I57" i="9" s="1"/>
  <c r="C57" i="9"/>
  <c r="I9" i="6"/>
  <c r="H9" i="6"/>
  <c r="I34" i="4"/>
  <c r="I9" i="4"/>
  <c r="I9" i="3"/>
  <c r="H9" i="3"/>
  <c r="H9" i="2"/>
  <c r="H201" i="1"/>
  <c r="E201" i="1"/>
  <c r="I177" i="1"/>
  <c r="H129" i="1"/>
  <c r="I105" i="1"/>
  <c r="H105" i="1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9" i="9"/>
  <c r="L12" i="10"/>
  <c r="M12" i="10"/>
  <c r="K12" i="10"/>
  <c r="J12" i="10"/>
  <c r="I12" i="10"/>
  <c r="H12" i="10"/>
  <c r="G12" i="10"/>
  <c r="F12" i="10"/>
  <c r="H9" i="9"/>
  <c r="I9" i="9"/>
  <c r="H10" i="9"/>
  <c r="I10" i="9"/>
  <c r="I12" i="9"/>
  <c r="I11" i="9"/>
  <c r="H11" i="9"/>
  <c r="E25" i="2"/>
  <c r="E84" i="1"/>
  <c r="H84" i="1"/>
  <c r="I84" i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I12" i="6"/>
  <c r="H12" i="6"/>
  <c r="E12" i="6"/>
  <c r="I11" i="6"/>
  <c r="H11" i="6"/>
  <c r="E11" i="6"/>
  <c r="I10" i="6"/>
  <c r="H10" i="6"/>
  <c r="E10" i="6"/>
  <c r="I37" i="4"/>
  <c r="H37" i="4"/>
  <c r="E50" i="4"/>
  <c r="E25" i="4"/>
  <c r="I36" i="4"/>
  <c r="H36" i="4"/>
  <c r="E49" i="4"/>
  <c r="E24" i="4"/>
  <c r="I35" i="4"/>
  <c r="H35" i="4"/>
  <c r="E48" i="4"/>
  <c r="E23" i="4"/>
  <c r="E47" i="4"/>
  <c r="E22" i="4"/>
  <c r="E46" i="4"/>
  <c r="E21" i="4"/>
  <c r="E45" i="4"/>
  <c r="E20" i="4"/>
  <c r="E44" i="4"/>
  <c r="E19" i="4"/>
  <c r="E43" i="4"/>
  <c r="E18" i="4"/>
  <c r="E42" i="4"/>
  <c r="E17" i="4"/>
  <c r="E41" i="4"/>
  <c r="E16" i="4"/>
  <c r="E40" i="4"/>
  <c r="E15" i="4"/>
  <c r="E39" i="4"/>
  <c r="E14" i="4"/>
  <c r="E38" i="4"/>
  <c r="E13" i="4"/>
  <c r="I12" i="4"/>
  <c r="H12" i="4"/>
  <c r="E37" i="4"/>
  <c r="E12" i="4"/>
  <c r="I11" i="4"/>
  <c r="H11" i="4"/>
  <c r="E36" i="4"/>
  <c r="E11" i="4"/>
  <c r="I10" i="4"/>
  <c r="H10" i="4"/>
  <c r="E35" i="4"/>
  <c r="E10" i="4"/>
  <c r="I12" i="3"/>
  <c r="H12" i="3"/>
  <c r="I11" i="3"/>
  <c r="I10" i="3"/>
  <c r="H10" i="3"/>
  <c r="E10" i="3"/>
  <c r="E24" i="2"/>
  <c r="E23" i="2"/>
  <c r="E22" i="2"/>
  <c r="E21" i="2"/>
  <c r="E19" i="2"/>
  <c r="E18" i="2"/>
  <c r="E17" i="2"/>
  <c r="E16" i="2"/>
  <c r="E15" i="2"/>
  <c r="E14" i="2"/>
  <c r="E12" i="2"/>
  <c r="E11" i="2"/>
  <c r="E10" i="2"/>
  <c r="E203" i="1"/>
  <c r="E204" i="1"/>
  <c r="E211" i="1"/>
  <c r="I204" i="1"/>
  <c r="E206" i="1"/>
  <c r="E210" i="1"/>
  <c r="E214" i="1"/>
  <c r="H202" i="1"/>
  <c r="E59" i="1"/>
  <c r="E60" i="1"/>
  <c r="E67" i="1"/>
  <c r="E71" i="1"/>
  <c r="E72" i="1"/>
  <c r="H59" i="1"/>
  <c r="H60" i="1"/>
  <c r="E73" i="1"/>
  <c r="H58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I178" i="1"/>
  <c r="I179" i="1"/>
  <c r="H179" i="1"/>
  <c r="H178" i="1"/>
  <c r="E36" i="1"/>
  <c r="H35" i="1"/>
  <c r="E40" i="1"/>
  <c r="E44" i="1"/>
  <c r="E48" i="1"/>
  <c r="I106" i="1"/>
  <c r="H107" i="1"/>
  <c r="H106" i="1"/>
  <c r="E88" i="1"/>
  <c r="E92" i="1"/>
  <c r="E96" i="1"/>
  <c r="H82" i="1"/>
  <c r="E132" i="1"/>
  <c r="I131" i="1"/>
  <c r="E144" i="1"/>
  <c r="H132" i="1"/>
  <c r="E139" i="1"/>
  <c r="E136" i="1"/>
  <c r="H131" i="1"/>
  <c r="E164" i="1"/>
  <c r="E161" i="1"/>
  <c r="E160" i="1"/>
  <c r="H154" i="1"/>
  <c r="E155" i="1"/>
  <c r="E167" i="1"/>
  <c r="E217" i="1"/>
  <c r="E215" i="1"/>
  <c r="E213" i="1"/>
  <c r="E209" i="1"/>
  <c r="E207" i="1"/>
  <c r="E205" i="1"/>
  <c r="I203" i="1"/>
  <c r="E202" i="1"/>
  <c r="I201" i="1"/>
  <c r="I180" i="1"/>
  <c r="E143" i="1"/>
  <c r="E141" i="1"/>
  <c r="E137" i="1"/>
  <c r="E133" i="1"/>
  <c r="I132" i="1"/>
  <c r="H130" i="1"/>
  <c r="E121" i="1"/>
  <c r="E119" i="1"/>
  <c r="E117" i="1"/>
  <c r="E115" i="1"/>
  <c r="E113" i="1"/>
  <c r="E111" i="1"/>
  <c r="E109" i="1"/>
  <c r="I108" i="1"/>
  <c r="H108" i="1"/>
  <c r="I107" i="1"/>
  <c r="E106" i="1"/>
  <c r="E97" i="1"/>
  <c r="E94" i="1"/>
  <c r="E93" i="1"/>
  <c r="E90" i="1"/>
  <c r="E89" i="1"/>
  <c r="E86" i="1"/>
  <c r="I83" i="1"/>
  <c r="E70" i="1"/>
  <c r="E68" i="1"/>
  <c r="E66" i="1"/>
  <c r="E63" i="1"/>
  <c r="E62" i="1"/>
  <c r="E49" i="1"/>
  <c r="E47" i="1"/>
  <c r="E45" i="1"/>
  <c r="E43" i="1"/>
  <c r="E41" i="1"/>
  <c r="E37" i="1"/>
  <c r="H36" i="1"/>
  <c r="E35" i="1"/>
  <c r="I34" i="1"/>
  <c r="I202" i="1"/>
  <c r="E216" i="1"/>
  <c r="E212" i="1"/>
  <c r="E208" i="1"/>
  <c r="H203" i="1"/>
  <c r="H204" i="1"/>
  <c r="E64" i="1"/>
  <c r="I58" i="1"/>
  <c r="I60" i="1"/>
  <c r="E61" i="1"/>
  <c r="E65" i="1"/>
  <c r="E69" i="1"/>
  <c r="E58" i="1"/>
  <c r="H180" i="1"/>
  <c r="J180" i="1" s="1"/>
  <c r="E46" i="1"/>
  <c r="E42" i="1"/>
  <c r="I36" i="1"/>
  <c r="E108" i="1"/>
  <c r="E118" i="1"/>
  <c r="E114" i="1"/>
  <c r="E120" i="1"/>
  <c r="E116" i="1"/>
  <c r="E112" i="1"/>
  <c r="E110" i="1"/>
  <c r="E107" i="1"/>
  <c r="E83" i="1"/>
  <c r="I82" i="1"/>
  <c r="E87" i="1"/>
  <c r="E91" i="1"/>
  <c r="E95" i="1"/>
  <c r="E130" i="1"/>
  <c r="E138" i="1"/>
  <c r="I130" i="1"/>
  <c r="E135" i="1"/>
  <c r="E140" i="1"/>
  <c r="E145" i="1"/>
  <c r="E131" i="1"/>
  <c r="E134" i="1"/>
  <c r="E142" i="1"/>
  <c r="H156" i="1"/>
  <c r="E165" i="1"/>
  <c r="I155" i="1"/>
  <c r="E157" i="1"/>
  <c r="E163" i="1"/>
  <c r="E166" i="1"/>
  <c r="E162" i="1"/>
  <c r="E154" i="1"/>
  <c r="I156" i="1"/>
  <c r="E169" i="1"/>
  <c r="E156" i="1"/>
  <c r="E168" i="1"/>
  <c r="E158" i="1"/>
  <c r="I154" i="1"/>
  <c r="E159" i="1"/>
  <c r="H155" i="1"/>
  <c r="E129" i="1"/>
  <c r="E81" i="1"/>
  <c r="I57" i="1"/>
  <c r="H153" i="1"/>
  <c r="E177" i="1"/>
  <c r="H177" i="1"/>
  <c r="E105" i="1"/>
  <c r="E34" i="4"/>
  <c r="H34" i="4"/>
  <c r="C9" i="8"/>
  <c r="E33" i="1"/>
  <c r="H9" i="4"/>
  <c r="E9" i="4"/>
  <c r="E9" i="3"/>
  <c r="I153" i="1"/>
  <c r="E153" i="1"/>
  <c r="I129" i="1"/>
  <c r="N12" i="10"/>
  <c r="I9" i="2"/>
  <c r="H33" i="8"/>
  <c r="E57" i="8"/>
  <c r="D9" i="8"/>
  <c r="D106" i="8" s="1"/>
  <c r="E34" i="1"/>
  <c r="E57" i="1"/>
  <c r="E38" i="1"/>
  <c r="E82" i="1"/>
  <c r="D10" i="1"/>
  <c r="H83" i="1"/>
  <c r="I35" i="1"/>
  <c r="E85" i="1"/>
  <c r="C99" i="1"/>
  <c r="D75" i="1"/>
  <c r="I59" i="1"/>
  <c r="H37" i="1" l="1"/>
  <c r="I37" i="1"/>
  <c r="J43" i="1"/>
  <c r="J42" i="1"/>
  <c r="E24" i="8"/>
  <c r="E22" i="8"/>
  <c r="J153" i="1"/>
  <c r="J154" i="1"/>
  <c r="J132" i="1"/>
  <c r="J81" i="1"/>
  <c r="J58" i="8"/>
  <c r="J11" i="9"/>
  <c r="E37" i="9"/>
  <c r="E34" i="9"/>
  <c r="J60" i="8"/>
  <c r="J203" i="1"/>
  <c r="J10" i="9"/>
  <c r="H57" i="9"/>
  <c r="J57" i="9" s="1"/>
  <c r="E59" i="9"/>
  <c r="E71" i="9"/>
  <c r="E38" i="9"/>
  <c r="E42" i="9"/>
  <c r="E12" i="8"/>
  <c r="C88" i="8"/>
  <c r="D86" i="8"/>
  <c r="J9" i="3"/>
  <c r="J11" i="6"/>
  <c r="E20" i="2"/>
  <c r="E27" i="2" s="1"/>
  <c r="J10" i="2"/>
  <c r="J11" i="4"/>
  <c r="J37" i="4"/>
  <c r="J35" i="4"/>
  <c r="J34" i="4"/>
  <c r="E52" i="4"/>
  <c r="J9" i="4"/>
  <c r="J10" i="4"/>
  <c r="J33" i="1"/>
  <c r="J130" i="1"/>
  <c r="I9" i="1"/>
  <c r="E9" i="1"/>
  <c r="J59" i="1"/>
  <c r="J156" i="1"/>
  <c r="E65" i="9"/>
  <c r="E44" i="9"/>
  <c r="I10" i="8"/>
  <c r="J11" i="3"/>
  <c r="J33" i="8"/>
  <c r="E27" i="4"/>
  <c r="J58" i="1"/>
  <c r="J108" i="1"/>
  <c r="J107" i="1"/>
  <c r="J202" i="1"/>
  <c r="J10" i="3"/>
  <c r="J12" i="4"/>
  <c r="J36" i="4"/>
  <c r="J10" i="6"/>
  <c r="J84" i="1"/>
  <c r="J177" i="1"/>
  <c r="J9" i="6"/>
  <c r="E58" i="9"/>
  <c r="D51" i="9"/>
  <c r="H34" i="9"/>
  <c r="E39" i="9"/>
  <c r="E41" i="9"/>
  <c r="J35" i="8"/>
  <c r="E27" i="3"/>
  <c r="E67" i="9"/>
  <c r="E99" i="1"/>
  <c r="J155" i="1"/>
  <c r="J106" i="1"/>
  <c r="J60" i="1"/>
  <c r="J12" i="3"/>
  <c r="J105" i="1"/>
  <c r="J34" i="8"/>
  <c r="E84" i="8"/>
  <c r="D27" i="2"/>
  <c r="J201" i="1"/>
  <c r="J204" i="1"/>
  <c r="E219" i="1"/>
  <c r="E195" i="1"/>
  <c r="J178" i="1"/>
  <c r="J179" i="1"/>
  <c r="E147" i="1"/>
  <c r="J129" i="1"/>
  <c r="J131" i="1"/>
  <c r="E123" i="1"/>
  <c r="J82" i="1"/>
  <c r="J83" i="1"/>
  <c r="J34" i="1"/>
  <c r="J35" i="1"/>
  <c r="J36" i="1"/>
  <c r="E14" i="1"/>
  <c r="E62" i="9"/>
  <c r="E69" i="9"/>
  <c r="E36" i="9"/>
  <c r="E40" i="9"/>
  <c r="E46" i="9"/>
  <c r="E48" i="9"/>
  <c r="I59" i="9"/>
  <c r="E68" i="9"/>
  <c r="E72" i="9"/>
  <c r="E35" i="9"/>
  <c r="E47" i="9"/>
  <c r="E25" i="9"/>
  <c r="H12" i="9"/>
  <c r="C73" i="9"/>
  <c r="E73" i="9" s="1"/>
  <c r="C49" i="9"/>
  <c r="E49" i="9" s="1"/>
  <c r="E50" i="9"/>
  <c r="E74" i="9"/>
  <c r="C51" i="9"/>
  <c r="J9" i="9"/>
  <c r="E60" i="9"/>
  <c r="E64" i="9"/>
  <c r="I33" i="9"/>
  <c r="J33" i="9" s="1"/>
  <c r="D75" i="9"/>
  <c r="H35" i="9"/>
  <c r="H59" i="9"/>
  <c r="E63" i="9"/>
  <c r="E66" i="9"/>
  <c r="I34" i="9"/>
  <c r="E43" i="9"/>
  <c r="E45" i="9"/>
  <c r="I36" i="9"/>
  <c r="E20" i="8"/>
  <c r="D117" i="8"/>
  <c r="E117" i="8" s="1"/>
  <c r="E18" i="8"/>
  <c r="J36" i="8"/>
  <c r="C96" i="8"/>
  <c r="E96" i="8" s="1"/>
  <c r="C121" i="8"/>
  <c r="C97" i="8"/>
  <c r="J57" i="8"/>
  <c r="E90" i="8"/>
  <c r="D114" i="8"/>
  <c r="C109" i="8"/>
  <c r="E11" i="8"/>
  <c r="E75" i="8"/>
  <c r="C92" i="8"/>
  <c r="E92" i="8" s="1"/>
  <c r="C95" i="8"/>
  <c r="D121" i="8"/>
  <c r="E26" i="8"/>
  <c r="C98" i="8"/>
  <c r="E98" i="8" s="1"/>
  <c r="E51" i="8"/>
  <c r="C115" i="8"/>
  <c r="E14" i="8"/>
  <c r="D107" i="8"/>
  <c r="I106" i="8" s="1"/>
  <c r="H9" i="8"/>
  <c r="E122" i="8"/>
  <c r="D88" i="8"/>
  <c r="D119" i="8"/>
  <c r="E16" i="8"/>
  <c r="I9" i="8"/>
  <c r="D115" i="8"/>
  <c r="J12" i="6"/>
  <c r="I11" i="2"/>
  <c r="J12" i="2"/>
  <c r="J9" i="2"/>
  <c r="I60" i="9"/>
  <c r="E33" i="9"/>
  <c r="H58" i="9"/>
  <c r="J58" i="9" s="1"/>
  <c r="I35" i="9"/>
  <c r="E70" i="9"/>
  <c r="E61" i="9"/>
  <c r="E57" i="9"/>
  <c r="H82" i="8"/>
  <c r="E111" i="8"/>
  <c r="D109" i="8"/>
  <c r="C27" i="8"/>
  <c r="H10" i="8"/>
  <c r="E21" i="8"/>
  <c r="E113" i="8"/>
  <c r="E120" i="8"/>
  <c r="C86" i="8"/>
  <c r="I12" i="8"/>
  <c r="C108" i="8"/>
  <c r="C114" i="8"/>
  <c r="C89" i="8"/>
  <c r="E89" i="8" s="1"/>
  <c r="E17" i="8"/>
  <c r="I11" i="8"/>
  <c r="D85" i="8"/>
  <c r="D27" i="8"/>
  <c r="E15" i="8"/>
  <c r="C87" i="8"/>
  <c r="C112" i="8"/>
  <c r="E112" i="8" s="1"/>
  <c r="D87" i="8"/>
  <c r="E13" i="8"/>
  <c r="D118" i="8"/>
  <c r="C82" i="8"/>
  <c r="E82" i="8" s="1"/>
  <c r="E10" i="8"/>
  <c r="E93" i="8"/>
  <c r="D81" i="8"/>
  <c r="C107" i="8"/>
  <c r="D91" i="8"/>
  <c r="C118" i="8"/>
  <c r="E9" i="8"/>
  <c r="C81" i="8"/>
  <c r="C106" i="8"/>
  <c r="H11" i="8"/>
  <c r="C110" i="8"/>
  <c r="C116" i="8"/>
  <c r="E116" i="8" s="1"/>
  <c r="C91" i="8"/>
  <c r="E19" i="8"/>
  <c r="C94" i="8"/>
  <c r="C119" i="8"/>
  <c r="H12" i="8"/>
  <c r="E25" i="8"/>
  <c r="D97" i="8"/>
  <c r="D95" i="8"/>
  <c r="E23" i="8"/>
  <c r="D110" i="8"/>
  <c r="D108" i="8"/>
  <c r="D83" i="8"/>
  <c r="I82" i="8" s="1"/>
  <c r="D123" i="8"/>
  <c r="E27" i="6"/>
  <c r="E18" i="1"/>
  <c r="E171" i="1"/>
  <c r="E17" i="1"/>
  <c r="E15" i="1"/>
  <c r="E20" i="1"/>
  <c r="E10" i="1"/>
  <c r="E25" i="1"/>
  <c r="E23" i="1"/>
  <c r="E21" i="1"/>
  <c r="I10" i="1"/>
  <c r="E24" i="1"/>
  <c r="E16" i="1"/>
  <c r="E19" i="1"/>
  <c r="H11" i="1"/>
  <c r="J57" i="1"/>
  <c r="E75" i="1"/>
  <c r="I12" i="1"/>
  <c r="C27" i="1"/>
  <c r="D27" i="1"/>
  <c r="E13" i="1"/>
  <c r="I11" i="1"/>
  <c r="H12" i="1"/>
  <c r="E22" i="1"/>
  <c r="H10" i="1"/>
  <c r="E11" i="1"/>
  <c r="H9" i="1"/>
  <c r="E26" i="1"/>
  <c r="E12" i="1"/>
  <c r="J37" i="1" l="1"/>
  <c r="I13" i="1"/>
  <c r="H13" i="1"/>
  <c r="H107" i="8"/>
  <c r="E97" i="8"/>
  <c r="E86" i="8"/>
  <c r="C75" i="9"/>
  <c r="J34" i="9"/>
  <c r="E88" i="8"/>
  <c r="J9" i="8"/>
  <c r="J11" i="2"/>
  <c r="J12" i="8"/>
  <c r="E121" i="8"/>
  <c r="J10" i="8"/>
  <c r="H60" i="9"/>
  <c r="J60" i="9" s="1"/>
  <c r="J35" i="9"/>
  <c r="J59" i="9"/>
  <c r="J12" i="9"/>
  <c r="E27" i="9"/>
  <c r="H36" i="9"/>
  <c r="J36" i="9" s="1"/>
  <c r="E114" i="8"/>
  <c r="I109" i="8"/>
  <c r="E107" i="8"/>
  <c r="E91" i="8"/>
  <c r="E109" i="8"/>
  <c r="I83" i="8"/>
  <c r="E115" i="8"/>
  <c r="E75" i="9"/>
  <c r="E51" i="9"/>
  <c r="E118" i="8"/>
  <c r="D99" i="8"/>
  <c r="I81" i="8"/>
  <c r="E123" i="8"/>
  <c r="E95" i="8"/>
  <c r="I84" i="8"/>
  <c r="H109" i="8"/>
  <c r="E119" i="8"/>
  <c r="C124" i="8"/>
  <c r="E106" i="8"/>
  <c r="H106" i="8"/>
  <c r="E87" i="8"/>
  <c r="D124" i="8"/>
  <c r="I107" i="8"/>
  <c r="E108" i="8"/>
  <c r="H84" i="8"/>
  <c r="E94" i="8"/>
  <c r="H108" i="8"/>
  <c r="E110" i="8"/>
  <c r="E81" i="8"/>
  <c r="C99" i="8"/>
  <c r="H81" i="8"/>
  <c r="E85" i="8"/>
  <c r="E83" i="8"/>
  <c r="J82" i="8" s="1"/>
  <c r="I108" i="8"/>
  <c r="J11" i="8"/>
  <c r="E27" i="8"/>
  <c r="H83" i="8"/>
  <c r="J10" i="1"/>
  <c r="J11" i="1"/>
  <c r="J12" i="1"/>
  <c r="E27" i="1"/>
  <c r="J9" i="1"/>
  <c r="J13" i="1" l="1"/>
  <c r="J83" i="8"/>
  <c r="J108" i="8"/>
  <c r="J107" i="8"/>
  <c r="E124" i="8"/>
  <c r="J106" i="8"/>
  <c r="E99" i="8"/>
  <c r="J81" i="8"/>
  <c r="J84" i="8"/>
  <c r="J109" i="8"/>
  <c r="D51" i="1" l="1"/>
  <c r="C51" i="1"/>
  <c r="E51" i="1"/>
  <c r="J18" i="8"/>
  <c r="J18" i="9"/>
</calcChain>
</file>

<file path=xl/sharedStrings.xml><?xml version="1.0" encoding="utf-8"?>
<sst xmlns="http://schemas.openxmlformats.org/spreadsheetml/2006/main" count="1715" uniqueCount="177">
  <si>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</si>
  <si>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</si>
  <si>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</si>
  <si>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</si>
  <si>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</si>
  <si>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</si>
  <si>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</si>
  <si>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</si>
  <si>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</si>
  <si>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</si>
  <si>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</si>
  <si>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</si>
  <si>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</si>
  <si>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</si>
  <si>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</si>
  <si>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</si>
  <si>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</si>
  <si>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</si>
  <si>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</si>
  <si>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</si>
  <si>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</si>
  <si>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</si>
  <si>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</si>
  <si>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</si>
  <si>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</si>
  <si>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</si>
  <si>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</si>
  <si>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PURRANQUE</t>
  </si>
  <si>
    <t>RIO NEGRO</t>
  </si>
  <si>
    <t>PUERTO OCTAY</t>
  </si>
  <si>
    <t>PUYEHUE</t>
  </si>
  <si>
    <t>SAN JUAN DE LA COSTA</t>
  </si>
  <si>
    <t xml:space="preserve"> 0 - 4</t>
  </si>
  <si>
    <t>SAN PABLO</t>
  </si>
  <si>
    <t>Total</t>
  </si>
  <si>
    <t xml:space="preserve">Mujeres </t>
  </si>
  <si>
    <t>COMUNAS</t>
  </si>
  <si>
    <t>Osorno</t>
  </si>
  <si>
    <t>Pto. Octay</t>
  </si>
  <si>
    <t>Purranque</t>
  </si>
  <si>
    <t>Puyehue</t>
  </si>
  <si>
    <t>Río Negro</t>
  </si>
  <si>
    <t>Sn. J. Costa</t>
  </si>
  <si>
    <t>San Pablo</t>
  </si>
  <si>
    <t>Código:</t>
  </si>
  <si>
    <t>Grupos 
de edad</t>
  </si>
  <si>
    <t>Año 
2006</t>
  </si>
  <si>
    <t>Año 
2007</t>
  </si>
  <si>
    <t>Año 
2008</t>
  </si>
  <si>
    <t>Año 
2009</t>
  </si>
  <si>
    <t>Año 
2010</t>
  </si>
  <si>
    <t>Año 
2011</t>
  </si>
  <si>
    <t>Año
2013</t>
  </si>
  <si>
    <r>
      <rPr>
        <b/>
        <sz val="10"/>
        <color indexed="9"/>
        <rFont val="Arial"/>
        <family val="2"/>
      </rPr>
      <t xml:space="preserve">Año 
2011 
</t>
    </r>
    <r>
      <rPr>
        <sz val="8"/>
        <color indexed="9"/>
        <rFont val="Arial"/>
        <family val="2"/>
      </rPr>
      <t>(según nueva Res. de Fonasa)</t>
    </r>
  </si>
  <si>
    <r>
      <t xml:space="preserve">Año 
2015 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20/12/2014)</t>
    </r>
  </si>
  <si>
    <r>
      <rPr>
        <b/>
        <sz val="10"/>
        <color indexed="9"/>
        <rFont val="Arial"/>
        <family val="2"/>
      </rPr>
      <t>Año 
2014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(según Ord. C52 Nº3.487 Subse. Redes) </t>
    </r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</si>
  <si>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Ord. Nº3.772  05/12/2011, Subse Redes)</t>
    </r>
  </si>
  <si>
    <t xml:space="preserve"> 6 años</t>
  </si>
  <si>
    <t>12 años</t>
  </si>
  <si>
    <t xml:space="preserve"> 10 - 14</t>
  </si>
  <si>
    <t xml:space="preserve"> Hombres 20 - 44</t>
  </si>
  <si>
    <t>Mujeres 45 - 64</t>
  </si>
  <si>
    <t>odontologico</t>
  </si>
  <si>
    <t>60 años</t>
  </si>
  <si>
    <t>&lt; 20 años</t>
  </si>
  <si>
    <t>Meta IAAPS</t>
  </si>
  <si>
    <t>Comuna:</t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</si>
  <si>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archivo Fonasa, que modificará decreto anterior)</t>
    </r>
  </si>
  <si>
    <t>INSCRITA
COMUNA DE SAN PABLO</t>
  </si>
  <si>
    <t>ASIGNADA POR SSO
HOSPITAL P. SOCORRO QUILACAHUIN</t>
  </si>
  <si>
    <t>INSCRITA
COMUNA DE PUYEHUE</t>
  </si>
  <si>
    <t>INSCRITA
DEPTO. SALUD PUERTO OCTAY</t>
  </si>
  <si>
    <t>INSCRITA
COMUNA DE OSORNO</t>
  </si>
  <si>
    <t>INSCRITA
CESFAM RAHUE ALTO</t>
  </si>
  <si>
    <t>INSCRITA
CESFAM DR. MARCELO LOPETEGUI</t>
  </si>
  <si>
    <t>INSCRITA
CESFAM OVEJERÍA</t>
  </si>
  <si>
    <t>INSCRITA
CESFAM PAMPA ALEGRE</t>
  </si>
  <si>
    <t>INSCRITA
CESFAM DR. PEDRO JÁUREGUI</t>
  </si>
  <si>
    <t>INSCRITA
CESFAM QUINTO CENTENARIO</t>
  </si>
  <si>
    <t>INSCRITA
POSTA CANCURA</t>
  </si>
  <si>
    <t>INSCRITA
POSTA PICHI DAMAS</t>
  </si>
  <si>
    <t>INSCRITA 
COMUNA DE PURRANQUE</t>
  </si>
  <si>
    <t>INSCRITA
COMUNA DE RIO NEGRO</t>
  </si>
  <si>
    <t>ASIGNADA POR SSO
DEPTO. SALUD SAN PABLO</t>
  </si>
  <si>
    <t>ASIGNADA POR SSO
HOSP. MISIÓN SAN JUAN DE LA COSTA</t>
  </si>
  <si>
    <t>ASIGNADA POR SSO
DEPTO. SALUD SAN JUAN DE LA COSTA</t>
  </si>
  <si>
    <t>INSCRITA
COMUNA DE SAN JUAN DE LA COSTA</t>
  </si>
  <si>
    <t>INSCRITA
CESFAM PUAUCHO</t>
  </si>
  <si>
    <t>INSCRITA
CESFAM BAHIA MANSA</t>
  </si>
  <si>
    <t>3 años</t>
  </si>
  <si>
    <t>4 años</t>
  </si>
  <si>
    <r>
      <t xml:space="preserve">Año 
2016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21/12/2015)</t>
    </r>
  </si>
  <si>
    <t>COMUNA DE PURRANQUE</t>
  </si>
  <si>
    <t>COMUNA DE RIO NEGRO</t>
  </si>
  <si>
    <t>COMUNA DE PUERTO OCTAY</t>
  </si>
  <si>
    <t>COMUNA DE PUYEHUE</t>
  </si>
  <si>
    <t>COMUNA DE SAN PABLO</t>
  </si>
  <si>
    <t>COMUNA DE SAN JUAN DE LA COSTA</t>
  </si>
  <si>
    <t>No definido</t>
  </si>
  <si>
    <t>SERVICIO DE SALUD OSORNO</t>
  </si>
  <si>
    <t>ADSCRITA
HOSPITAL PUERTO OCTAY</t>
  </si>
  <si>
    <t>Cód. 123303</t>
  </si>
  <si>
    <t>Cód. 123301</t>
  </si>
  <si>
    <t>Cód. 123302</t>
  </si>
  <si>
    <t>Cód. 123306</t>
  </si>
  <si>
    <t>Cód. 123300</t>
  </si>
  <si>
    <t>Cód. 123310</t>
  </si>
  <si>
    <t>Cód. 123425</t>
  </si>
  <si>
    <t>Cód. 123404</t>
  </si>
  <si>
    <t>Cód. 123103</t>
  </si>
  <si>
    <t>Cód. 123422, 123423, 123424, 123426, 123427, 123428</t>
  </si>
  <si>
    <t>Cód. 123307, 123413</t>
  </si>
  <si>
    <t>Cód. 123304</t>
  </si>
  <si>
    <t>Cód. 123309, 123410, 123434, 123709</t>
  </si>
  <si>
    <t>Cód. 123305</t>
  </si>
  <si>
    <t>Cód. 123312</t>
  </si>
  <si>
    <t>Cód. 123311</t>
  </si>
  <si>
    <r>
      <t xml:space="preserve">Año 
2017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email APS  03/11/2016)</t>
    </r>
  </si>
  <si>
    <t>HPO</t>
  </si>
  <si>
    <t>HSJC</t>
  </si>
  <si>
    <t>Hquila</t>
  </si>
  <si>
    <t>Total SSO</t>
  </si>
  <si>
    <t>Cód. 123311, 123312</t>
  </si>
  <si>
    <t>Establecimientos con Dependencia Municipal</t>
  </si>
  <si>
    <r>
      <t xml:space="preserve">Año 
2017
</t>
    </r>
    <r>
      <rPr>
        <sz val="10"/>
        <color indexed="9"/>
        <rFont val="Arial"/>
        <family val="2"/>
      </rPr>
      <t xml:space="preserve">(según </t>
    </r>
    <r>
      <rPr>
        <sz val="8"/>
        <color indexed="9"/>
        <rFont val="Arial"/>
        <family val="2"/>
      </rPr>
      <t>email APS  03/02/2017)</t>
    </r>
  </si>
  <si>
    <t xml:space="preserve">COMUNA DE OSORNO </t>
  </si>
  <si>
    <t>INSCRITA
PSR LA CALO</t>
  </si>
  <si>
    <t>INSCRITA
PSR RUPANCO</t>
  </si>
  <si>
    <t>INSCRITA
PSR CASCADAS</t>
  </si>
  <si>
    <t>INSCRITA
PSR COIHUECO</t>
  </si>
  <si>
    <t>INSCRITA
PSR PIEDRAS NEGRAS</t>
  </si>
  <si>
    <t>INSCRITA
PSR PELLINADA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</si>
  <si>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Puerto Octay considera PSR La Calo, PSR Rupanco, PSR Cascadas, PSR Coihueco, PSR Piedras Negras y PSR Pellinada</t>
    </r>
  </si>
  <si>
    <t>Cód. 123427</t>
  </si>
  <si>
    <t>Cód. 123422</t>
  </si>
  <si>
    <t>Cód. 123423</t>
  </si>
  <si>
    <t>Cód. 123428</t>
  </si>
  <si>
    <t>Cód. 123426</t>
  </si>
  <si>
    <t>Cód. 123424</t>
  </si>
  <si>
    <t>Población del DSM Puerto Octay desagregada por establecimientos: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</si>
  <si>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DSM Río Negro considera CECOSF Riachuelo, Cesfam P. Pablo Araya, PSR Huilma y PSR Tres Esteros</t>
    </r>
  </si>
  <si>
    <t>Población del DSM Río Negro desagregada por establecimientos:</t>
  </si>
  <si>
    <t>INSCRITA
CECOSF RIACHUELO</t>
  </si>
  <si>
    <t>INSCRITA
CESFAM P. PABLO ARAYA</t>
  </si>
  <si>
    <t>INSCRITA
PSR HUILMA</t>
  </si>
  <si>
    <t>INSCRITA
PSR TRES ESTEROS</t>
  </si>
  <si>
    <t>Cód.  123709</t>
  </si>
  <si>
    <t>Cód. 123309</t>
  </si>
  <si>
    <t>Cód. 123434</t>
  </si>
  <si>
    <t>Cód. 123410</t>
  </si>
  <si>
    <t>&lt; 1 año</t>
  </si>
  <si>
    <t>1 año</t>
  </si>
  <si>
    <t>2 años</t>
  </si>
  <si>
    <t>7 a &lt; 20 años</t>
  </si>
  <si>
    <t>Establecimientos con Dependencia Municipal: Centro de Salud Familiar Purranque (21.742), Posta de Salud Rural (27)</t>
  </si>
  <si>
    <t>Dependencia Servicio: Hospital Puerto Octay (3.680)
Dependencia Municipal los otros establecimientos</t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</si>
  <si>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DSM San Juan de la Costa considera toda la población de la Comuna.</t>
    </r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</si>
  <si>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DSM San Pablo considera toda la población de la Comuna.</t>
    </r>
  </si>
  <si>
    <r>
      <t xml:space="preserve">Dif. 
</t>
    </r>
    <r>
      <rPr>
        <sz val="8"/>
        <rFont val="Arial"/>
        <family val="2"/>
      </rPr>
      <t>(2020-2019)</t>
    </r>
  </si>
  <si>
    <t>POBLACIÓN INSCRITA VALIDADA FONASA PARA AÑOS 2006-2020</t>
  </si>
  <si>
    <t>POBLACIÓN INSCRITA VALIDADA POR FONASA AÑO 2020 SEGÚN SEXO Y EDAD</t>
  </si>
  <si>
    <t>Nota: Se incluyen 136 (75 y 61) beneficiarios inscritos en Cecosf Murrinumo</t>
  </si>
  <si>
    <t>Nota: Se incluyen 3 beneficiarios inscritos en Cecosf Manuel Rodriguez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</si>
  <si>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Se incluyen en Población del Cesfam San Pablo 16 beneficiarios inscritos en las PSR de la comuna</t>
    </r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</si>
  <si>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CESFAM Puaucho considera PSR Aleucapi (4) y PSR Cuinco (4)</t>
    </r>
  </si>
  <si>
    <t>Nota: Se incluyen en Población del CESFAM Purranque 23 beneficiarios inscritos en las PSR de la comuna</t>
  </si>
  <si>
    <t>Dependencia Servicio: Mision San Juan de la Costa (79) No se consideran
Dependencia Municipal los otros establecimientos</t>
  </si>
  <si>
    <t>Dependencia Servicio: Misión Quilacahuín (n=126) No se consideran
Dependencia Municipal los otros establecimientos</t>
  </si>
  <si>
    <t xml:space="preserve"> 7 años</t>
  </si>
  <si>
    <t>5 años</t>
  </si>
  <si>
    <t xml:space="preserve"> 8 años</t>
  </si>
  <si>
    <t xml:space="preserve"> 9 años</t>
  </si>
  <si>
    <t>Establecimientos con Dependencia Municipal: Centro de Salud Familiar Entre Lagos (12.480), Cecosf El Encanto (27)  y PSR (11)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</si>
  <si>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Se incluyen en Población del CESFAM Entrelagos 27  beneficiarios inscritos en Cecosf El Encanto y 11 en PSR de la comuna</t>
    </r>
  </si>
  <si>
    <r>
      <t xml:space="preserve">Año 
2018
</t>
    </r>
    <r>
      <rPr>
        <sz val="8"/>
        <rFont val="Arial"/>
        <family val="2"/>
      </rPr>
      <t>(provisoria)</t>
    </r>
  </si>
  <si>
    <r>
      <rPr>
        <sz val="10"/>
        <rFont val="Arial"/>
        <family val="2"/>
      </rPr>
      <t>Año 
2019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(Extraida sistema Fonasa)</t>
    </r>
  </si>
  <si>
    <r>
      <t xml:space="preserve">Año 
2020
</t>
    </r>
    <r>
      <rPr>
        <sz val="8"/>
        <color indexed="9"/>
        <rFont val="Arial"/>
        <family val="2"/>
      </rPr>
      <t>(según mail Fonasa Agosto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</si>
</sst>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_-;\-* #,##0_-;_-* &quot;-&quot;??_-;_-@_-"/>
    <numFmt numFmtId="166" formatCode="#,##0_ ;\-#,##0\ "/>
  </numFmts>
  <fonts count="3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name val="Verdana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3" fontId="0" fillId="0" borderId="0" xfId="0" applyNumberFormat="1"/>
    <xf numFmtId="3" fontId="1" fillId="0" borderId="0" xfId="0" applyNumberFormat="1" applyFont="1" applyFill="1" applyBorder="1"/>
    <xf numFmtId="0" fontId="1" fillId="0" borderId="0" xfId="0" applyFont="1" applyFill="1" applyBorder="1"/>
    <xf numFmtId="3" fontId="3" fillId="0" borderId="0" xfId="0" applyNumberFormat="1" applyFont="1" applyFill="1" applyBorder="1"/>
    <xf numFmtId="0" fontId="4" fillId="2" borderId="6" xfId="0" applyFont="1" applyFill="1" applyBorder="1"/>
    <xf numFmtId="3" fontId="1" fillId="0" borderId="2" xfId="0" applyNumberFormat="1" applyFont="1" applyBorder="1"/>
    <xf numFmtId="3" fontId="1" fillId="0" borderId="5" xfId="0" applyNumberFormat="1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3" fontId="1" fillId="0" borderId="1" xfId="0" applyNumberFormat="1" applyFont="1" applyFill="1" applyBorder="1"/>
    <xf numFmtId="0" fontId="4" fillId="2" borderId="3" xfId="0" applyFont="1" applyFill="1" applyBorder="1"/>
    <xf numFmtId="3" fontId="1" fillId="0" borderId="4" xfId="0" applyNumberFormat="1" applyFont="1" applyBorder="1"/>
    <xf numFmtId="0" fontId="4" fillId="2" borderId="7" xfId="0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Border="1"/>
    <xf numFmtId="3" fontId="1" fillId="0" borderId="8" xfId="0" applyNumberFormat="1" applyFont="1" applyBorder="1"/>
    <xf numFmtId="0" fontId="1" fillId="0" borderId="0" xfId="0" applyFont="1" applyAlignment="1">
      <alignment horizontal="right"/>
    </xf>
    <xf numFmtId="3" fontId="12" fillId="0" borderId="2" xfId="0" applyNumberFormat="1" applyFont="1" applyBorder="1"/>
    <xf numFmtId="3" fontId="12" fillId="0" borderId="1" xfId="0" applyNumberFormat="1" applyFont="1" applyBorder="1"/>
    <xf numFmtId="0" fontId="11" fillId="0" borderId="0" xfId="0" applyFont="1"/>
    <xf numFmtId="0" fontId="13" fillId="0" borderId="0" xfId="0" applyFont="1" applyAlignment="1">
      <alignment horizontal="left"/>
    </xf>
    <xf numFmtId="0" fontId="14" fillId="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14" fillId="3" borderId="1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10" xfId="0" applyFont="1" applyFill="1" applyBorder="1" applyAlignment="1">
      <alignment horizontal="center"/>
    </xf>
    <xf numFmtId="3" fontId="1" fillId="3" borderId="10" xfId="0" applyNumberFormat="1" applyFont="1" applyFill="1" applyBorder="1"/>
    <xf numFmtId="3" fontId="1" fillId="3" borderId="10" xfId="0" applyNumberFormat="1" applyFont="1" applyFill="1" applyBorder="1" applyAlignment="1">
      <alignment horizontal="right"/>
    </xf>
    <xf numFmtId="3" fontId="1" fillId="5" borderId="10" xfId="0" applyNumberFormat="1" applyFont="1" applyFill="1" applyBorder="1"/>
    <xf numFmtId="3" fontId="1" fillId="7" borderId="10" xfId="0" applyNumberFormat="1" applyFont="1" applyFill="1" applyBorder="1"/>
    <xf numFmtId="3" fontId="1" fillId="4" borderId="10" xfId="0" applyNumberFormat="1" applyFont="1" applyFill="1" applyBorder="1"/>
    <xf numFmtId="3" fontId="1" fillId="6" borderId="8" xfId="0" applyNumberFormat="1" applyFont="1" applyFill="1" applyBorder="1"/>
    <xf numFmtId="0" fontId="17" fillId="0" borderId="0" xfId="0" applyFont="1"/>
    <xf numFmtId="0" fontId="11" fillId="0" borderId="0" xfId="0" applyFont="1" applyAlignment="1">
      <alignment horizontal="center"/>
    </xf>
    <xf numFmtId="3" fontId="1" fillId="3" borderId="11" xfId="0" applyNumberFormat="1" applyFont="1" applyFill="1" applyBorder="1"/>
    <xf numFmtId="3" fontId="1" fillId="7" borderId="9" xfId="0" applyNumberFormat="1" applyFont="1" applyFill="1" applyBorder="1"/>
    <xf numFmtId="3" fontId="17" fillId="0" borderId="8" xfId="0" applyNumberFormat="1" applyFont="1" applyBorder="1"/>
    <xf numFmtId="0" fontId="16" fillId="7" borderId="10" xfId="0" applyFont="1" applyFill="1" applyBorder="1" applyAlignment="1">
      <alignment horizontal="center" vertical="center" wrapText="1"/>
    </xf>
    <xf numFmtId="3" fontId="0" fillId="0" borderId="15" xfId="0" applyNumberFormat="1" applyBorder="1"/>
    <xf numFmtId="0" fontId="0" fillId="0" borderId="15" xfId="0" applyBorder="1"/>
    <xf numFmtId="3" fontId="10" fillId="0" borderId="0" xfId="0" applyNumberFormat="1" applyFont="1" applyBorder="1"/>
    <xf numFmtId="0" fontId="10" fillId="0" borderId="0" xfId="0" applyFont="1" applyBorder="1"/>
    <xf numFmtId="3" fontId="17" fillId="0" borderId="0" xfId="0" applyNumberFormat="1" applyFont="1" applyBorder="1"/>
    <xf numFmtId="0" fontId="17" fillId="0" borderId="0" xfId="0" applyFont="1" applyBorder="1"/>
    <xf numFmtId="3" fontId="1" fillId="9" borderId="10" xfId="0" applyNumberFormat="1" applyFont="1" applyFill="1" applyBorder="1"/>
    <xf numFmtId="0" fontId="17" fillId="0" borderId="0" xfId="0" applyFont="1" applyFill="1" applyAlignment="1">
      <alignment horizontal="left" inden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6" fontId="0" fillId="0" borderId="2" xfId="0" applyNumberFormat="1" applyFont="1" applyBorder="1"/>
    <xf numFmtId="166" fontId="0" fillId="0" borderId="5" xfId="0" applyNumberFormat="1" applyFont="1" applyBorder="1"/>
    <xf numFmtId="166" fontId="0" fillId="0" borderId="1" xfId="0" applyNumberFormat="1" applyFont="1" applyBorder="1"/>
    <xf numFmtId="166" fontId="0" fillId="0" borderId="4" xfId="0" applyNumberFormat="1" applyFont="1" applyBorder="1"/>
    <xf numFmtId="166" fontId="0" fillId="0" borderId="8" xfId="0" applyNumberFormat="1" applyFont="1" applyBorder="1"/>
    <xf numFmtId="166" fontId="0" fillId="0" borderId="9" xfId="0" applyNumberFormat="1" applyFont="1" applyBorder="1"/>
    <xf numFmtId="3" fontId="17" fillId="0" borderId="2" xfId="0" applyNumberFormat="1" applyFont="1" applyBorder="1"/>
    <xf numFmtId="3" fontId="17" fillId="0" borderId="1" xfId="0" applyNumberFormat="1" applyFont="1" applyBorder="1"/>
    <xf numFmtId="3" fontId="17" fillId="0" borderId="3" xfId="0" applyNumberFormat="1" applyFont="1" applyBorder="1"/>
    <xf numFmtId="3" fontId="18" fillId="10" borderId="12" xfId="0" applyNumberFormat="1" applyFont="1" applyFill="1" applyBorder="1"/>
    <xf numFmtId="3" fontId="18" fillId="10" borderId="10" xfId="0" applyNumberFormat="1" applyFont="1" applyFill="1" applyBorder="1"/>
    <xf numFmtId="3" fontId="18" fillId="11" borderId="10" xfId="0" applyNumberFormat="1" applyFont="1" applyFill="1" applyBorder="1"/>
    <xf numFmtId="3" fontId="18" fillId="6" borderId="10" xfId="0" applyNumberFormat="1" applyFont="1" applyFill="1" applyBorder="1"/>
    <xf numFmtId="3" fontId="17" fillId="0" borderId="6" xfId="0" applyNumberFormat="1" applyFont="1" applyBorder="1"/>
    <xf numFmtId="3" fontId="17" fillId="0" borderId="7" xfId="0" applyNumberFormat="1" applyFont="1" applyBorder="1"/>
    <xf numFmtId="3" fontId="18" fillId="11" borderId="12" xfId="0" applyNumberFormat="1" applyFont="1" applyFill="1" applyBorder="1"/>
    <xf numFmtId="0" fontId="17" fillId="11" borderId="6" xfId="0" applyFont="1" applyFill="1" applyBorder="1" applyAlignment="1">
      <alignment horizontal="center"/>
    </xf>
    <xf numFmtId="16" fontId="17" fillId="11" borderId="3" xfId="0" quotePrefix="1" applyNumberFormat="1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16" fontId="17" fillId="11" borderId="1" xfId="0" quotePrefix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8" fillId="8" borderId="6" xfId="0" applyFont="1" applyFill="1" applyBorder="1" applyAlignment="1">
      <alignment horizontal="center"/>
    </xf>
    <xf numFmtId="3" fontId="17" fillId="0" borderId="14" xfId="0" applyNumberFormat="1" applyFont="1" applyBorder="1"/>
    <xf numFmtId="16" fontId="18" fillId="8" borderId="3" xfId="0" quotePrefix="1" applyNumberFormat="1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3" fontId="18" fillId="8" borderId="10" xfId="0" applyNumberFormat="1" applyFont="1" applyFill="1" applyBorder="1"/>
    <xf numFmtId="3" fontId="18" fillId="0" borderId="0" xfId="0" applyNumberFormat="1" applyFont="1" applyBorder="1"/>
    <xf numFmtId="0" fontId="18" fillId="8" borderId="12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0" fillId="0" borderId="0" xfId="0" applyFont="1" applyBorder="1"/>
    <xf numFmtId="0" fontId="17" fillId="0" borderId="0" xfId="0" applyFont="1" applyFill="1" applyBorder="1"/>
    <xf numFmtId="0" fontId="18" fillId="0" borderId="0" xfId="0" applyFont="1" applyFill="1" applyBorder="1"/>
    <xf numFmtId="3" fontId="18" fillId="0" borderId="0" xfId="0" applyNumberFormat="1" applyFont="1" applyFill="1" applyBorder="1"/>
    <xf numFmtId="0" fontId="18" fillId="8" borderId="2" xfId="0" applyFont="1" applyFill="1" applyBorder="1" applyAlignment="1">
      <alignment horizontal="center"/>
    </xf>
    <xf numFmtId="16" fontId="18" fillId="8" borderId="1" xfId="0" quotePrefix="1" applyNumberFormat="1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11" borderId="3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16" fontId="18" fillId="11" borderId="3" xfId="0" applyNumberFormat="1" applyFont="1" applyFill="1" applyBorder="1" applyAlignment="1">
      <alignment horizontal="center"/>
    </xf>
    <xf numFmtId="16" fontId="18" fillId="11" borderId="3" xfId="0" quotePrefix="1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vertical="center" wrapText="1"/>
    </xf>
    <xf numFmtId="0" fontId="18" fillId="11" borderId="12" xfId="0" applyFont="1" applyFill="1" applyBorder="1"/>
    <xf numFmtId="3" fontId="23" fillId="0" borderId="0" xfId="0" applyNumberFormat="1" applyFont="1" applyBorder="1" applyAlignment="1">
      <alignment horizontal="left" vertical="center" wrapText="1"/>
    </xf>
    <xf numFmtId="0" fontId="18" fillId="10" borderId="3" xfId="0" applyFont="1" applyFill="1" applyBorder="1" applyAlignment="1">
      <alignment horizontal="center"/>
    </xf>
    <xf numFmtId="165" fontId="0" fillId="0" borderId="2" xfId="0" applyNumberFormat="1" applyFont="1" applyBorder="1"/>
    <xf numFmtId="165" fontId="0" fillId="0" borderId="0" xfId="0" applyNumberFormat="1" applyFont="1"/>
    <xf numFmtId="0" fontId="18" fillId="10" borderId="2" xfId="0" applyFont="1" applyFill="1" applyBorder="1" applyAlignment="1">
      <alignment horizontal="center"/>
    </xf>
    <xf numFmtId="16" fontId="18" fillId="10" borderId="3" xfId="0" applyNumberFormat="1" applyFont="1" applyFill="1" applyBorder="1" applyAlignment="1">
      <alignment horizontal="center"/>
    </xf>
    <xf numFmtId="165" fontId="0" fillId="0" borderId="1" xfId="0" applyNumberFormat="1" applyFont="1" applyBorder="1"/>
    <xf numFmtId="16" fontId="18" fillId="10" borderId="1" xfId="0" quotePrefix="1" applyNumberFormat="1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165" fontId="0" fillId="0" borderId="8" xfId="0" applyNumberFormat="1" applyFont="1" applyBorder="1"/>
    <xf numFmtId="0" fontId="18" fillId="10" borderId="12" xfId="0" applyFont="1" applyFill="1" applyBorder="1"/>
    <xf numFmtId="164" fontId="17" fillId="0" borderId="0" xfId="0" applyNumberFormat="1" applyFont="1"/>
    <xf numFmtId="16" fontId="18" fillId="8" borderId="3" xfId="0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 vertical="center" wrapText="1"/>
    </xf>
    <xf numFmtId="16" fontId="17" fillId="8" borderId="2" xfId="0" quotePrefix="1" applyNumberFormat="1" applyFont="1" applyFill="1" applyBorder="1" applyAlignment="1">
      <alignment horizontal="center"/>
    </xf>
    <xf numFmtId="16" fontId="17" fillId="8" borderId="1" xfId="0" quotePrefix="1" applyNumberFormat="1" applyFont="1" applyFill="1" applyBorder="1" applyAlignment="1">
      <alignment horizontal="center"/>
    </xf>
    <xf numFmtId="0" fontId="18" fillId="8" borderId="12" xfId="0" applyFont="1" applyFill="1" applyBorder="1"/>
    <xf numFmtId="9" fontId="0" fillId="0" borderId="0" xfId="0" applyNumberFormat="1" applyFont="1"/>
    <xf numFmtId="0" fontId="17" fillId="0" borderId="0" xfId="0" applyFont="1" applyAlignment="1">
      <alignment wrapText="1"/>
    </xf>
    <xf numFmtId="3" fontId="17" fillId="0" borderId="5" xfId="0" applyNumberFormat="1" applyFont="1" applyBorder="1"/>
    <xf numFmtId="3" fontId="17" fillId="0" borderId="4" xfId="0" applyNumberFormat="1" applyFont="1" applyBorder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25" fillId="0" borderId="0" xfId="0" applyNumberFormat="1" applyFont="1"/>
    <xf numFmtId="164" fontId="25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6" fillId="0" borderId="0" xfId="0" applyFont="1"/>
    <xf numFmtId="0" fontId="18" fillId="0" borderId="0" xfId="0" applyFont="1"/>
    <xf numFmtId="0" fontId="26" fillId="0" borderId="0" xfId="0" applyFont="1" applyBorder="1"/>
    <xf numFmtId="16" fontId="17" fillId="11" borderId="8" xfId="0" quotePrefix="1" applyNumberFormat="1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left"/>
    </xf>
    <xf numFmtId="9" fontId="18" fillId="0" borderId="0" xfId="0" applyNumberFormat="1" applyFont="1"/>
    <xf numFmtId="0" fontId="1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/>
    <xf numFmtId="3" fontId="17" fillId="0" borderId="0" xfId="0" applyNumberFormat="1" applyFont="1" applyFill="1" applyBorder="1"/>
    <xf numFmtId="9" fontId="22" fillId="0" borderId="10" xfId="0" applyNumberFormat="1" applyFont="1" applyBorder="1" applyAlignment="1">
      <alignment horizontal="center"/>
    </xf>
    <xf numFmtId="9" fontId="22" fillId="0" borderId="0" xfId="0" applyNumberFormat="1" applyFont="1" applyBorder="1" applyAlignment="1">
      <alignment horizontal="center"/>
    </xf>
    <xf numFmtId="3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" fontId="17" fillId="0" borderId="0" xfId="0" applyNumberFormat="1" applyFont="1" applyFill="1" applyBorder="1"/>
    <xf numFmtId="17" fontId="17" fillId="0" borderId="0" xfId="0" applyNumberFormat="1" applyFont="1" applyFill="1" applyBorder="1"/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left"/>
    </xf>
    <xf numFmtId="0" fontId="21" fillId="0" borderId="0" xfId="0" applyFont="1" applyBorder="1"/>
    <xf numFmtId="3" fontId="26" fillId="0" borderId="0" xfId="0" applyNumberFormat="1" applyFont="1" applyBorder="1"/>
    <xf numFmtId="16" fontId="17" fillId="10" borderId="2" xfId="0" quotePrefix="1" applyNumberFormat="1" applyFont="1" applyFill="1" applyBorder="1" applyAlignment="1">
      <alignment horizontal="center"/>
    </xf>
    <xf numFmtId="16" fontId="17" fillId="10" borderId="1" xfId="0" quotePrefix="1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7" fillId="0" borderId="0" xfId="0" applyFont="1" applyFill="1"/>
    <xf numFmtId="3" fontId="18" fillId="0" borderId="0" xfId="0" applyNumberFormat="1" applyFont="1"/>
    <xf numFmtId="16" fontId="17" fillId="10" borderId="8" xfId="0" quotePrefix="1" applyNumberFormat="1" applyFont="1" applyFill="1" applyBorder="1" applyAlignment="1">
      <alignment horizontal="center"/>
    </xf>
    <xf numFmtId="3" fontId="0" fillId="0" borderId="0" xfId="0" applyNumberFormat="1" applyFont="1" applyBorder="1"/>
    <xf numFmtId="3" fontId="28" fillId="0" borderId="0" xfId="0" applyNumberFormat="1" applyFont="1" applyBorder="1"/>
    <xf numFmtId="0" fontId="28" fillId="0" borderId="0" xfId="0" applyFont="1" applyBorder="1"/>
    <xf numFmtId="0" fontId="31" fillId="0" borderId="0" xfId="0" applyFont="1" applyBorder="1"/>
    <xf numFmtId="3" fontId="18" fillId="11" borderId="11" xfId="0" applyNumberFormat="1" applyFont="1" applyFill="1" applyBorder="1"/>
    <xf numFmtId="0" fontId="28" fillId="0" borderId="0" xfId="0" applyFont="1"/>
    <xf numFmtId="3" fontId="18" fillId="0" borderId="0" xfId="0" applyNumberFormat="1" applyFont="1" applyFill="1" applyBorder="1" applyAlignment="1">
      <alignment horizontal="center"/>
    </xf>
    <xf numFmtId="16" fontId="21" fillId="0" borderId="0" xfId="0" quotePrefix="1" applyNumberFormat="1" applyFont="1" applyFill="1" applyBorder="1" applyAlignment="1">
      <alignment horizontal="center"/>
    </xf>
    <xf numFmtId="0" fontId="19" fillId="0" borderId="0" xfId="0" applyFont="1" applyFill="1"/>
    <xf numFmtId="3" fontId="19" fillId="0" borderId="0" xfId="0" applyNumberFormat="1" applyFont="1" applyFill="1"/>
    <xf numFmtId="0" fontId="18" fillId="6" borderId="3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16" fontId="18" fillId="6" borderId="3" xfId="0" applyNumberFormat="1" applyFont="1" applyFill="1" applyBorder="1" applyAlignment="1">
      <alignment horizontal="center"/>
    </xf>
    <xf numFmtId="16" fontId="18" fillId="6" borderId="3" xfId="0" quotePrefix="1" applyNumberFormat="1" applyFont="1" applyFill="1" applyBorder="1" applyAlignment="1">
      <alignment horizontal="center"/>
    </xf>
    <xf numFmtId="3" fontId="31" fillId="0" borderId="0" xfId="0" applyNumberFormat="1" applyFont="1" applyBorder="1"/>
    <xf numFmtId="0" fontId="18" fillId="6" borderId="12" xfId="0" applyFont="1" applyFill="1" applyBorder="1"/>
    <xf numFmtId="0" fontId="18" fillId="6" borderId="12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16" fontId="18" fillId="6" borderId="8" xfId="0" quotePrefix="1" applyNumberFormat="1" applyFont="1" applyFill="1" applyBorder="1" applyAlignment="1">
      <alignment horizontal="center"/>
    </xf>
    <xf numFmtId="3" fontId="32" fillId="0" borderId="0" xfId="0" applyNumberFormat="1" applyFont="1" applyBorder="1" applyAlignment="1">
      <alignment vertical="center" wrapText="1"/>
    </xf>
    <xf numFmtId="3" fontId="17" fillId="12" borderId="2" xfId="0" applyNumberFormat="1" applyFont="1" applyFill="1" applyBorder="1"/>
    <xf numFmtId="3" fontId="17" fillId="12" borderId="8" xfId="0" applyNumberFormat="1" applyFont="1" applyFill="1" applyBorder="1"/>
    <xf numFmtId="0" fontId="18" fillId="0" borderId="0" xfId="0" applyFont="1" applyFill="1"/>
    <xf numFmtId="0" fontId="31" fillId="0" borderId="0" xfId="0" applyFont="1"/>
    <xf numFmtId="0" fontId="24" fillId="0" borderId="0" xfId="0" applyFont="1" applyAlignment="1">
      <alignment vertical="center"/>
    </xf>
    <xf numFmtId="0" fontId="24" fillId="0" borderId="0" xfId="0" applyFont="1"/>
    <xf numFmtId="1" fontId="10" fillId="0" borderId="0" xfId="0" applyNumberFormat="1" applyFont="1" applyAlignment="1">
      <alignment horizontal="left"/>
    </xf>
    <xf numFmtId="0" fontId="33" fillId="0" borderId="0" xfId="0" applyFont="1"/>
    <xf numFmtId="0" fontId="18" fillId="0" borderId="0" xfId="0" applyFont="1" applyAlignment="1">
      <alignment horizontal="center" vertical="center"/>
    </xf>
    <xf numFmtId="3" fontId="17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Border="1"/>
    <xf numFmtId="3" fontId="0" fillId="0" borderId="0" xfId="0" applyNumberFormat="1" applyFont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28" fillId="0" borderId="0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justify"/>
    </xf>
    <xf numFmtId="0" fontId="29" fillId="0" borderId="0" xfId="0" applyFont="1" applyFill="1" applyBorder="1" applyAlignment="1">
      <alignment vertical="center" wrapText="1"/>
    </xf>
    <xf numFmtId="2" fontId="18" fillId="0" borderId="0" xfId="0" applyNumberFormat="1" applyFont="1"/>
    <xf numFmtId="0" fontId="17" fillId="0" borderId="0" xfId="0" applyFont="1" applyFill="1" applyBorder="1" applyAlignment="1"/>
    <xf numFmtId="9" fontId="22" fillId="0" borderId="11" xfId="0" applyNumberFormat="1" applyFont="1" applyBorder="1" applyAlignment="1">
      <alignment horizontal="center"/>
    </xf>
    <xf numFmtId="0" fontId="33" fillId="0" borderId="0" xfId="0" applyFont="1" applyBorder="1"/>
    <xf numFmtId="0" fontId="36" fillId="0" borderId="0" xfId="0" applyFont="1" applyBorder="1"/>
    <xf numFmtId="0" fontId="3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justify"/>
    </xf>
    <xf numFmtId="0" fontId="18" fillId="0" borderId="0" xfId="0" applyFont="1" applyFill="1" applyBorder="1" applyAlignment="1">
      <alignment vertical="justify"/>
    </xf>
    <xf numFmtId="0" fontId="3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6" fillId="0" borderId="0" xfId="0" applyFont="1" applyFill="1" applyBorder="1"/>
    <xf numFmtId="16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6" fillId="0" borderId="0" xfId="0" applyFont="1" applyFill="1" applyBorder="1"/>
    <xf numFmtId="3" fontId="21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8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8" fillId="10" borderId="11" xfId="0" applyFont="1" applyFill="1" applyBorder="1" applyAlignment="1">
      <alignment horizontal="center" vertical="center"/>
    </xf>
    <xf numFmtId="3" fontId="38" fillId="0" borderId="1" xfId="0" applyNumberFormat="1" applyFont="1" applyBorder="1"/>
    <xf numFmtId="3" fontId="18" fillId="10" borderId="11" xfId="0" applyNumberFormat="1" applyFont="1" applyFill="1" applyBorder="1"/>
    <xf numFmtId="0" fontId="0" fillId="0" borderId="6" xfId="0" applyNumberFormat="1" applyBorder="1"/>
    <xf numFmtId="0" fontId="0" fillId="0" borderId="3" xfId="0" applyNumberFormat="1" applyBorder="1"/>
    <xf numFmtId="166" fontId="0" fillId="0" borderId="7" xfId="0" applyNumberFormat="1" applyFont="1" applyBorder="1"/>
    <xf numFmtId="0" fontId="0" fillId="0" borderId="2" xfId="0" applyNumberFormat="1" applyBorder="1"/>
    <xf numFmtId="0" fontId="0" fillId="0" borderId="1" xfId="0" applyNumberFormat="1" applyBorder="1"/>
    <xf numFmtId="165" fontId="0" fillId="0" borderId="5" xfId="0" applyNumberFormat="1" applyFont="1" applyBorder="1"/>
    <xf numFmtId="165" fontId="0" fillId="0" borderId="4" xfId="0" applyNumberFormat="1" applyFont="1" applyBorder="1"/>
    <xf numFmtId="165" fontId="0" fillId="0" borderId="9" xfId="0" applyNumberFormat="1" applyFont="1" applyBorder="1"/>
    <xf numFmtId="16" fontId="18" fillId="6" borderId="7" xfId="0" quotePrefix="1" applyNumberFormat="1" applyFont="1" applyFill="1" applyBorder="1" applyAlignment="1">
      <alignment horizontal="center"/>
    </xf>
    <xf numFmtId="0" fontId="22" fillId="0" borderId="0" xfId="0" applyFont="1"/>
    <xf numFmtId="0" fontId="11" fillId="0" borderId="0" xfId="0" applyFont="1" applyBorder="1"/>
    <xf numFmtId="3" fontId="22" fillId="0" borderId="0" xfId="0" applyNumberFormat="1" applyFont="1" applyBorder="1"/>
    <xf numFmtId="3" fontId="11" fillId="0" borderId="0" xfId="0" applyNumberFormat="1" applyFont="1" applyBorder="1" applyAlignment="1">
      <alignment vertical="center" wrapText="1"/>
    </xf>
    <xf numFmtId="3" fontId="18" fillId="8" borderId="12" xfId="0" applyNumberFormat="1" applyFont="1" applyFill="1" applyBorder="1"/>
    <xf numFmtId="16" fontId="17" fillId="8" borderId="8" xfId="0" quotePrefix="1" applyNumberFormat="1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16" fontId="17" fillId="8" borderId="9" xfId="0" quotePrefix="1" applyNumberFormat="1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16" fontId="17" fillId="10" borderId="9" xfId="0" quotePrefix="1" applyNumberFormat="1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16" fontId="17" fillId="6" borderId="8" xfId="0" quotePrefix="1" applyNumberFormat="1" applyFont="1" applyFill="1" applyBorder="1" applyAlignment="1">
      <alignment horizontal="center"/>
    </xf>
    <xf numFmtId="16" fontId="17" fillId="6" borderId="1" xfId="0" quotePrefix="1" applyNumberFormat="1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16" fontId="17" fillId="11" borderId="9" xfId="0" quotePrefix="1" applyNumberFormat="1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8" fillId="6" borderId="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0" fontId="18" fillId="8" borderId="13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R17" sqref="R17"/>
    </sheetView>
  </sheetViews>
  <sheetFormatPr baseColWidth="10" defaultRowHeight="18.75" x14ac:dyDescent="0.3"/>
  <cols>
    <col min="1" max="1" width="2.42578125" customWidth="1"/>
    <col min="2" max="2" width="13.140625" customWidth="1"/>
    <col min="3" max="7" width="8.140625" customWidth="1"/>
    <col min="8" max="8" width="8.140625" hidden="1" customWidth="1"/>
    <col min="9" max="9" width="10" customWidth="1"/>
    <col min="10" max="10" width="11.7109375" hidden="1" customWidth="1"/>
    <col min="11" max="11" width="12.28515625" customWidth="1"/>
    <col min="12" max="12" width="9.5703125" customWidth="1"/>
    <col min="13" max="13" width="11.5703125" customWidth="1"/>
    <col min="14" max="15" width="10.7109375" customWidth="1"/>
    <col min="16" max="16" width="10.7109375" hidden="1" customWidth="1"/>
    <col min="17" max="17" width="10.7109375" customWidth="1"/>
    <col min="18" max="18" width="9.140625" style="47" customWidth="1"/>
    <col min="19" max="19" width="8.42578125" style="47" customWidth="1"/>
    <col min="20" max="20" width="10.42578125" style="47" customWidth="1"/>
    <col min="21" max="21" width="9.5703125" style="32" customWidth="1"/>
    <col min="22" max="22" width="12.85546875" bestFit="1" customWidth="1"/>
  </cols>
  <sheetData>
    <row r="1" spans="2:25" ht="18.75" customHeight="1" x14ac:dyDescent="0.25">
      <c r="B1" s="270" t="s">
        <v>159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2:25" ht="18.75" customHeight="1" x14ac:dyDescent="0.25">
      <c r="B2" s="270" t="s">
        <v>99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2:25" ht="19.5" thickBot="1" x14ac:dyDescent="0.35">
      <c r="B3" s="4"/>
      <c r="C3" s="4"/>
      <c r="D3" s="4"/>
      <c r="E3" s="4"/>
      <c r="F3" s="4"/>
      <c r="G3" s="4"/>
      <c r="H3" s="4"/>
      <c r="I3" s="4"/>
    </row>
    <row r="4" spans="2:25" s="30" customFormat="1" ht="84" customHeight="1" thickBot="1" x14ac:dyDescent="0.3">
      <c r="B4" s="29" t="s">
        <v>36</v>
      </c>
      <c r="C4" s="31" t="s">
        <v>46</v>
      </c>
      <c r="D4" s="33" t="s">
        <v>47</v>
      </c>
      <c r="E4" s="31" t="s">
        <v>48</v>
      </c>
      <c r="F4" s="31" t="s">
        <v>49</v>
      </c>
      <c r="G4" s="31" t="s">
        <v>50</v>
      </c>
      <c r="H4" s="35" t="s">
        <v>51</v>
      </c>
      <c r="I4" s="36" t="s">
        <v>53</v>
      </c>
      <c r="J4" s="38" t="s">
        <v>56</v>
      </c>
      <c r="K4" s="38" t="s">
        <v>67</v>
      </c>
      <c r="L4" s="34" t="s">
        <v>52</v>
      </c>
      <c r="M4" s="37" t="s">
        <v>55</v>
      </c>
      <c r="N4" s="31" t="s">
        <v>54</v>
      </c>
      <c r="O4" s="36" t="s">
        <v>91</v>
      </c>
      <c r="P4" s="38" t="s">
        <v>117</v>
      </c>
      <c r="Q4" s="52" t="s">
        <v>124</v>
      </c>
      <c r="R4" s="304" t="s">
        <v>174</v>
      </c>
      <c r="S4" s="61" t="s">
        <v>175</v>
      </c>
      <c r="T4" s="36" t="s">
        <v>176</v>
      </c>
      <c r="U4" s="62" t="s">
        <v>158</v>
      </c>
    </row>
    <row r="5" spans="2:25" ht="16.5" customHeight="1" x14ac:dyDescent="0.25">
      <c r="B5" s="11" t="s">
        <v>37</v>
      </c>
      <c r="C5" s="12">
        <v>121925</v>
      </c>
      <c r="D5" s="13">
        <v>124472</v>
      </c>
      <c r="E5" s="12">
        <v>126135</v>
      </c>
      <c r="F5" s="14">
        <v>129207</v>
      </c>
      <c r="G5" s="15">
        <v>136506</v>
      </c>
      <c r="H5" s="14">
        <v>140509</v>
      </c>
      <c r="I5" s="14">
        <v>140180</v>
      </c>
      <c r="J5" s="16">
        <v>142189</v>
      </c>
      <c r="K5" s="17">
        <v>142196</v>
      </c>
      <c r="L5" s="25">
        <v>143411</v>
      </c>
      <c r="M5" s="16">
        <v>142127</v>
      </c>
      <c r="N5" s="25">
        <v>142952</v>
      </c>
      <c r="O5" s="14">
        <v>139905</v>
      </c>
      <c r="P5" s="14">
        <v>139645</v>
      </c>
      <c r="Q5" s="14">
        <v>139624</v>
      </c>
      <c r="R5" s="12">
        <v>138382</v>
      </c>
      <c r="S5" s="12">
        <v>138309</v>
      </c>
      <c r="T5" s="14">
        <v>137747</v>
      </c>
      <c r="U5" s="243">
        <f>+T5-S5</f>
        <v>-562</v>
      </c>
      <c r="V5" s="39"/>
      <c r="X5" s="30"/>
      <c r="Y5" s="30"/>
    </row>
    <row r="6" spans="2:25" ht="16.5" customHeight="1" x14ac:dyDescent="0.25">
      <c r="B6" s="18" t="s">
        <v>38</v>
      </c>
      <c r="C6" s="14">
        <v>5467</v>
      </c>
      <c r="D6" s="19">
        <v>5819</v>
      </c>
      <c r="E6" s="14">
        <v>5444</v>
      </c>
      <c r="F6" s="14">
        <v>5033</v>
      </c>
      <c r="G6" s="15">
        <v>5124</v>
      </c>
      <c r="H6" s="14">
        <v>5028</v>
      </c>
      <c r="I6" s="14">
        <v>5018</v>
      </c>
      <c r="J6" s="17">
        <v>4830</v>
      </c>
      <c r="K6" s="17">
        <v>4830</v>
      </c>
      <c r="L6" s="26">
        <v>4822</v>
      </c>
      <c r="M6" s="17">
        <v>4898</v>
      </c>
      <c r="N6" s="26">
        <v>4333</v>
      </c>
      <c r="O6" s="26">
        <v>4624</v>
      </c>
      <c r="P6" s="26">
        <v>4819</v>
      </c>
      <c r="Q6" s="26">
        <v>4819</v>
      </c>
      <c r="R6" s="14">
        <v>4830</v>
      </c>
      <c r="S6" s="14">
        <v>4875</v>
      </c>
      <c r="T6" s="26">
        <v>4821</v>
      </c>
      <c r="U6" s="243">
        <f t="shared" ref="U6:U11" si="0">+T6-S6</f>
        <v>-54</v>
      </c>
      <c r="V6" s="39"/>
      <c r="X6" s="30"/>
      <c r="Y6" s="30"/>
    </row>
    <row r="7" spans="2:25" ht="16.5" customHeight="1" x14ac:dyDescent="0.25">
      <c r="B7" s="18" t="s">
        <v>39</v>
      </c>
      <c r="C7" s="14">
        <v>20767</v>
      </c>
      <c r="D7" s="19">
        <v>21013</v>
      </c>
      <c r="E7" s="14">
        <v>21415</v>
      </c>
      <c r="F7" s="15">
        <v>21619</v>
      </c>
      <c r="G7" s="15">
        <v>21014</v>
      </c>
      <c r="H7" s="14">
        <v>20759</v>
      </c>
      <c r="I7" s="14">
        <v>20618</v>
      </c>
      <c r="J7" s="17">
        <v>20763</v>
      </c>
      <c r="K7" s="17">
        <v>20763</v>
      </c>
      <c r="L7" s="26">
        <v>21396</v>
      </c>
      <c r="M7" s="17">
        <v>21350</v>
      </c>
      <c r="N7" s="26">
        <v>21310</v>
      </c>
      <c r="O7" s="14">
        <v>21391</v>
      </c>
      <c r="P7" s="14">
        <v>21564</v>
      </c>
      <c r="Q7" s="14">
        <v>21564</v>
      </c>
      <c r="R7" s="14">
        <v>21646</v>
      </c>
      <c r="S7" s="14">
        <v>21769</v>
      </c>
      <c r="T7" s="14">
        <v>21910</v>
      </c>
      <c r="U7" s="14">
        <f t="shared" si="0"/>
        <v>141</v>
      </c>
      <c r="V7" s="39"/>
      <c r="X7" s="30"/>
      <c r="Y7" s="30"/>
    </row>
    <row r="8" spans="2:25" ht="16.5" customHeight="1" x14ac:dyDescent="0.25">
      <c r="B8" s="18" t="s">
        <v>40</v>
      </c>
      <c r="C8" s="14">
        <v>11053</v>
      </c>
      <c r="D8" s="19">
        <v>11028</v>
      </c>
      <c r="E8" s="14">
        <v>10583</v>
      </c>
      <c r="F8" s="15">
        <v>10935</v>
      </c>
      <c r="G8" s="15">
        <v>10740</v>
      </c>
      <c r="H8" s="14">
        <v>10960</v>
      </c>
      <c r="I8" s="14">
        <v>10900</v>
      </c>
      <c r="J8" s="17">
        <v>10981</v>
      </c>
      <c r="K8" s="17">
        <v>10981</v>
      </c>
      <c r="L8" s="26">
        <v>11503</v>
      </c>
      <c r="M8" s="17">
        <v>11655</v>
      </c>
      <c r="N8" s="26">
        <v>12092</v>
      </c>
      <c r="O8" s="14">
        <v>12430</v>
      </c>
      <c r="P8" s="14">
        <v>12540</v>
      </c>
      <c r="Q8" s="14">
        <v>12539</v>
      </c>
      <c r="R8" s="14">
        <v>12376</v>
      </c>
      <c r="S8" s="14">
        <v>12495</v>
      </c>
      <c r="T8" s="14">
        <v>12518</v>
      </c>
      <c r="U8" s="14">
        <f t="shared" si="0"/>
        <v>23</v>
      </c>
      <c r="V8" s="39"/>
      <c r="X8" s="30"/>
      <c r="Y8" s="30"/>
    </row>
    <row r="9" spans="2:25" ht="16.5" customHeight="1" x14ac:dyDescent="0.25">
      <c r="B9" s="18" t="s">
        <v>41</v>
      </c>
      <c r="C9" s="14">
        <v>5586</v>
      </c>
      <c r="D9" s="19">
        <v>5114</v>
      </c>
      <c r="E9" s="14">
        <v>5161</v>
      </c>
      <c r="F9" s="15">
        <v>11789</v>
      </c>
      <c r="G9" s="15">
        <v>9943</v>
      </c>
      <c r="H9" s="14">
        <v>11889</v>
      </c>
      <c r="I9" s="14">
        <v>11869</v>
      </c>
      <c r="J9" s="17">
        <v>11951</v>
      </c>
      <c r="K9" s="17">
        <v>11951</v>
      </c>
      <c r="L9" s="26">
        <v>12595</v>
      </c>
      <c r="M9" s="17">
        <v>12852</v>
      </c>
      <c r="N9" s="26">
        <v>13082</v>
      </c>
      <c r="O9" s="14">
        <v>13272</v>
      </c>
      <c r="P9" s="14">
        <v>13510</v>
      </c>
      <c r="Q9" s="14">
        <v>13509</v>
      </c>
      <c r="R9" s="14">
        <v>13581</v>
      </c>
      <c r="S9" s="14">
        <v>13891</v>
      </c>
      <c r="T9" s="14">
        <v>14065</v>
      </c>
      <c r="U9" s="14">
        <f t="shared" si="0"/>
        <v>174</v>
      </c>
      <c r="V9" s="39"/>
      <c r="X9" s="30"/>
      <c r="Y9" s="30"/>
    </row>
    <row r="10" spans="2:25" ht="16.5" customHeight="1" x14ac:dyDescent="0.25">
      <c r="B10" s="18" t="s">
        <v>42</v>
      </c>
      <c r="C10" s="14">
        <v>9795</v>
      </c>
      <c r="D10" s="19">
        <v>8559</v>
      </c>
      <c r="E10" s="14">
        <v>9940</v>
      </c>
      <c r="F10" s="15">
        <v>9918</v>
      </c>
      <c r="G10" s="15">
        <v>9843</v>
      </c>
      <c r="H10" s="14">
        <v>8552</v>
      </c>
      <c r="I10" s="14">
        <v>8537</v>
      </c>
      <c r="J10" s="17">
        <v>8097</v>
      </c>
      <c r="K10" s="17">
        <v>8113</v>
      </c>
      <c r="L10" s="26">
        <v>7949</v>
      </c>
      <c r="M10" s="17">
        <v>8476</v>
      </c>
      <c r="N10" s="14">
        <v>8507</v>
      </c>
      <c r="O10" s="14">
        <v>8770</v>
      </c>
      <c r="P10" s="14">
        <v>8687</v>
      </c>
      <c r="Q10" s="14">
        <v>8687</v>
      </c>
      <c r="R10" s="14">
        <v>8679</v>
      </c>
      <c r="S10" s="14">
        <v>8762</v>
      </c>
      <c r="T10" s="14">
        <v>8875</v>
      </c>
      <c r="U10" s="14">
        <f t="shared" si="0"/>
        <v>113</v>
      </c>
      <c r="V10" s="39"/>
      <c r="X10" s="30"/>
      <c r="Y10" s="30"/>
    </row>
    <row r="11" spans="2:25" ht="16.5" customHeight="1" thickBot="1" x14ac:dyDescent="0.3">
      <c r="B11" s="20" t="s">
        <v>43</v>
      </c>
      <c r="C11" s="21">
        <v>8135</v>
      </c>
      <c r="D11" s="22">
        <v>8549</v>
      </c>
      <c r="E11" s="23">
        <v>8980</v>
      </c>
      <c r="F11" s="15">
        <v>8805</v>
      </c>
      <c r="G11" s="15">
        <v>9196</v>
      </c>
      <c r="H11" s="14">
        <v>8475</v>
      </c>
      <c r="I11" s="14">
        <v>8439</v>
      </c>
      <c r="J11" s="21">
        <v>10068</v>
      </c>
      <c r="K11" s="17">
        <v>10078</v>
      </c>
      <c r="L11" s="26">
        <v>10304</v>
      </c>
      <c r="M11" s="21">
        <v>9562</v>
      </c>
      <c r="N11" s="14">
        <v>10588</v>
      </c>
      <c r="O11" s="14">
        <v>10520</v>
      </c>
      <c r="P11" s="14">
        <v>10342</v>
      </c>
      <c r="Q11" s="14">
        <v>10340</v>
      </c>
      <c r="R11" s="23">
        <v>10263</v>
      </c>
      <c r="S11" s="23">
        <v>10312</v>
      </c>
      <c r="T11" s="14">
        <v>10284</v>
      </c>
      <c r="U11" s="243">
        <f t="shared" si="0"/>
        <v>-28</v>
      </c>
      <c r="V11" s="39"/>
      <c r="X11" s="30"/>
      <c r="Y11" s="30"/>
    </row>
    <row r="12" spans="2:25" s="47" customFormat="1" ht="16.5" customHeight="1" thickBot="1" x14ac:dyDescent="0.3">
      <c r="B12" s="40" t="s">
        <v>14</v>
      </c>
      <c r="C12" s="41">
        <v>182728</v>
      </c>
      <c r="D12" s="49">
        <v>184554</v>
      </c>
      <c r="E12" s="41">
        <v>187658</v>
      </c>
      <c r="F12" s="42">
        <f t="shared" ref="F12:K12" si="1">SUM(F5:F11)</f>
        <v>197306</v>
      </c>
      <c r="G12" s="42">
        <f t="shared" si="1"/>
        <v>202366</v>
      </c>
      <c r="H12" s="43">
        <f t="shared" si="1"/>
        <v>206172</v>
      </c>
      <c r="I12" s="43">
        <f t="shared" si="1"/>
        <v>205561</v>
      </c>
      <c r="J12" s="44">
        <f t="shared" si="1"/>
        <v>208879</v>
      </c>
      <c r="K12" s="44">
        <f t="shared" si="1"/>
        <v>208912</v>
      </c>
      <c r="L12" s="45">
        <f t="shared" ref="L12:S12" si="2">SUM(L5:L11)</f>
        <v>211980</v>
      </c>
      <c r="M12" s="46">
        <f t="shared" si="2"/>
        <v>210920</v>
      </c>
      <c r="N12" s="41">
        <f t="shared" si="2"/>
        <v>212864</v>
      </c>
      <c r="O12" s="43">
        <f t="shared" si="2"/>
        <v>210912</v>
      </c>
      <c r="P12" s="44">
        <f t="shared" si="2"/>
        <v>211107</v>
      </c>
      <c r="Q12" s="44">
        <f t="shared" si="2"/>
        <v>211082</v>
      </c>
      <c r="R12" s="46">
        <f t="shared" si="2"/>
        <v>209757</v>
      </c>
      <c r="S12" s="46">
        <f t="shared" si="2"/>
        <v>210413</v>
      </c>
      <c r="T12" s="43">
        <f t="shared" ref="T12" si="3">SUM(T5:T11)</f>
        <v>210220</v>
      </c>
      <c r="U12" s="59">
        <f>+S12-R12</f>
        <v>656</v>
      </c>
    </row>
    <row r="13" spans="2:25" ht="15" x14ac:dyDescent="0.25">
      <c r="B13" s="2"/>
      <c r="C13" s="2"/>
      <c r="D13" s="4"/>
      <c r="E13" s="4"/>
      <c r="F13" s="4"/>
      <c r="G13" s="4"/>
      <c r="H13" s="4"/>
      <c r="I13" s="4"/>
      <c r="U13"/>
    </row>
    <row r="14" spans="2:25" x14ac:dyDescent="0.3">
      <c r="B14" s="4"/>
      <c r="C14" s="4"/>
      <c r="D14" s="4"/>
      <c r="E14" s="4"/>
      <c r="F14" s="4"/>
      <c r="G14" s="4"/>
      <c r="H14" s="4"/>
      <c r="N14" s="7"/>
      <c r="O14" s="55" t="s">
        <v>118</v>
      </c>
      <c r="P14" s="53">
        <v>3974</v>
      </c>
      <c r="Q14" s="5"/>
      <c r="R14" s="57"/>
      <c r="S14" s="57"/>
      <c r="T14" s="57"/>
    </row>
    <row r="15" spans="2:25" x14ac:dyDescent="0.3">
      <c r="F15" s="10"/>
      <c r="O15" s="56" t="s">
        <v>119</v>
      </c>
      <c r="P15" s="54">
        <v>97</v>
      </c>
      <c r="Q15" s="4"/>
      <c r="R15" s="58"/>
      <c r="S15" s="58"/>
      <c r="T15" s="58"/>
    </row>
    <row r="16" spans="2:25" x14ac:dyDescent="0.3">
      <c r="F16" s="10"/>
      <c r="I16" s="1"/>
      <c r="J16" s="1"/>
      <c r="K16" s="24"/>
      <c r="O16" s="56" t="s">
        <v>120</v>
      </c>
      <c r="P16" s="54">
        <v>141</v>
      </c>
      <c r="Q16" s="4"/>
      <c r="R16" s="58"/>
      <c r="S16" s="58"/>
      <c r="T16" s="58"/>
    </row>
    <row r="17" spans="6:20" ht="19.5" thickBot="1" x14ac:dyDescent="0.35">
      <c r="F17" s="10"/>
      <c r="H17" s="3"/>
      <c r="I17" s="6"/>
      <c r="J17" s="10"/>
      <c r="K17" s="10"/>
      <c r="O17" s="56" t="s">
        <v>121</v>
      </c>
      <c r="P17" s="50">
        <f>+P16+P15+P14+P12</f>
        <v>215319</v>
      </c>
      <c r="Q17" s="4"/>
      <c r="R17" s="58"/>
      <c r="S17" s="58"/>
      <c r="T17" s="58"/>
    </row>
    <row r="18" spans="6:20" x14ac:dyDescent="0.3">
      <c r="F18" s="10"/>
      <c r="H18" s="3"/>
      <c r="I18" s="6"/>
      <c r="J18" s="10"/>
      <c r="K18" s="10"/>
    </row>
    <row r="19" spans="6:20" x14ac:dyDescent="0.3">
      <c r="F19" s="10"/>
      <c r="H19" s="3"/>
      <c r="I19" s="6"/>
      <c r="J19" s="10"/>
      <c r="K19" s="10"/>
    </row>
    <row r="20" spans="6:20" x14ac:dyDescent="0.3">
      <c r="F20" s="8"/>
      <c r="H20" s="3"/>
      <c r="I20" s="6"/>
      <c r="J20" s="10"/>
      <c r="K20" s="10"/>
    </row>
    <row r="21" spans="6:20" x14ac:dyDescent="0.3">
      <c r="H21" s="3"/>
      <c r="I21" s="6"/>
      <c r="J21" s="10"/>
      <c r="K21" s="10"/>
    </row>
    <row r="22" spans="6:20" x14ac:dyDescent="0.3">
      <c r="H22" s="3"/>
      <c r="I22" s="6"/>
      <c r="J22" s="10"/>
      <c r="K22" s="10"/>
    </row>
    <row r="23" spans="6:20" x14ac:dyDescent="0.3">
      <c r="H23" s="3"/>
      <c r="I23" s="6"/>
      <c r="J23" s="10"/>
      <c r="K23" s="10"/>
    </row>
    <row r="24" spans="6:20" x14ac:dyDescent="0.3">
      <c r="I24" s="9"/>
      <c r="J24" s="8"/>
      <c r="K24" s="8"/>
    </row>
  </sheetData>
  <mergeCells count="2">
    <mergeCell ref="B1:U1"/>
    <mergeCell ref="B2:U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26"/>
  <sheetViews>
    <sheetView tabSelected="1" zoomScaleNormal="100" workbookViewId="0">
      <pane ySplit="5" topLeftCell="A6" activePane="bottomLeft" state="frozen"/>
      <selection activeCell="B2" sqref="B2:T2"/>
      <selection pane="bottomLeft" activeCell="K23" sqref="K23"/>
    </sheetView>
  </sheetViews>
  <sheetFormatPr baseColWidth="10" defaultRowHeight="15" x14ac:dyDescent="0.25"/>
  <cols>
    <col min="1" max="1" width="1.28515625" style="142" customWidth="1"/>
    <col min="2" max="2" width="18.140625" style="142" customWidth="1"/>
    <col min="3" max="3" width="13.5703125" style="142" customWidth="1"/>
    <col min="4" max="5" width="13" style="142" customWidth="1"/>
    <col min="6" max="6" width="11.140625" style="138" customWidth="1"/>
    <col min="7" max="7" width="18.5703125" style="142" bestFit="1" customWidth="1"/>
    <col min="8" max="8" width="12.7109375" style="142" customWidth="1"/>
    <col min="9" max="9" width="16.7109375" style="142" customWidth="1"/>
    <col min="10" max="10" width="14" style="142" customWidth="1"/>
    <col min="11" max="16384" width="11.42578125" style="142"/>
  </cols>
  <sheetData>
    <row r="1" spans="2:10" s="134" customFormat="1" ht="19.5" customHeight="1" x14ac:dyDescent="0.25">
      <c r="B1" s="277" t="s">
        <v>160</v>
      </c>
      <c r="C1" s="277"/>
      <c r="D1" s="277"/>
      <c r="E1" s="277"/>
      <c r="F1" s="277"/>
      <c r="G1" s="277"/>
      <c r="H1" s="277"/>
      <c r="I1" s="277"/>
      <c r="J1" s="277"/>
    </row>
    <row r="2" spans="2:10" s="134" customFormat="1" ht="19.5" customHeight="1" x14ac:dyDescent="0.25">
      <c r="B2" s="284" t="s">
        <v>125</v>
      </c>
      <c r="C2" s="284"/>
      <c r="D2" s="284"/>
      <c r="E2" s="284"/>
      <c r="F2" s="284"/>
      <c r="G2" s="284"/>
      <c r="H2" s="284"/>
      <c r="I2" s="284"/>
      <c r="J2" s="284"/>
    </row>
    <row r="4" spans="2:10" ht="12.75" customHeight="1" x14ac:dyDescent="0.25">
      <c r="B4" s="134" t="s">
        <v>66</v>
      </c>
      <c r="C4" s="135" t="s">
        <v>0</v>
      </c>
      <c r="D4" s="27"/>
      <c r="G4" s="285" t="s">
        <v>123</v>
      </c>
      <c r="H4" s="285"/>
      <c r="I4" s="285"/>
      <c r="J4" s="285"/>
    </row>
    <row r="5" spans="2:10" ht="12.75" customHeight="1" x14ac:dyDescent="0.25">
      <c r="B5" s="134" t="s">
        <v>44</v>
      </c>
      <c r="C5" s="137">
        <v>10301</v>
      </c>
      <c r="G5" s="285"/>
      <c r="H5" s="285"/>
      <c r="I5" s="285"/>
      <c r="J5" s="285"/>
    </row>
    <row r="6" spans="2:10" ht="13.5" customHeight="1" thickBot="1" x14ac:dyDescent="0.3"/>
    <row r="7" spans="2:10" ht="28.5" customHeight="1" thickBot="1" x14ac:dyDescent="0.3">
      <c r="B7" s="278" t="s">
        <v>45</v>
      </c>
      <c r="C7" s="280" t="s">
        <v>72</v>
      </c>
      <c r="D7" s="281"/>
      <c r="E7" s="282"/>
      <c r="G7" s="278" t="s">
        <v>45</v>
      </c>
      <c r="H7" s="280" t="s">
        <v>72</v>
      </c>
      <c r="I7" s="281"/>
      <c r="J7" s="282"/>
    </row>
    <row r="8" spans="2:10" ht="15.75" thickBot="1" x14ac:dyDescent="0.3">
      <c r="B8" s="279"/>
      <c r="C8" s="82" t="s">
        <v>2</v>
      </c>
      <c r="D8" s="83" t="s">
        <v>3</v>
      </c>
      <c r="E8" s="84" t="s">
        <v>4</v>
      </c>
      <c r="F8" s="139"/>
      <c r="G8" s="283"/>
      <c r="H8" s="82" t="s">
        <v>2</v>
      </c>
      <c r="I8" s="83" t="s">
        <v>3</v>
      </c>
      <c r="J8" s="84" t="s">
        <v>4</v>
      </c>
    </row>
    <row r="9" spans="2:10" x14ac:dyDescent="0.25">
      <c r="B9" s="107" t="s">
        <v>5</v>
      </c>
      <c r="C9" s="70">
        <f t="shared" ref="C9:D25" si="0">SUM(C33,C57,C81,C105,C129,C153,C177,C201)</f>
        <v>2747</v>
      </c>
      <c r="D9" s="71">
        <f t="shared" si="0"/>
        <v>2526</v>
      </c>
      <c r="E9" s="69">
        <f>SUM(C9:D9)</f>
        <v>5273</v>
      </c>
      <c r="F9" s="140"/>
      <c r="G9" s="108" t="s">
        <v>6</v>
      </c>
      <c r="H9" s="76">
        <f>SUM(C9:C10)</f>
        <v>7551</v>
      </c>
      <c r="I9" s="69">
        <f>SUM(D9:D10)</f>
        <v>7339</v>
      </c>
      <c r="J9" s="69">
        <f t="shared" ref="J9:J12" si="1">SUM(H9:I9)</f>
        <v>14890</v>
      </c>
    </row>
    <row r="10" spans="2:10" x14ac:dyDescent="0.25">
      <c r="B10" s="109" t="s">
        <v>7</v>
      </c>
      <c r="C10" s="70">
        <f t="shared" si="0"/>
        <v>4804</v>
      </c>
      <c r="D10" s="71">
        <f t="shared" si="0"/>
        <v>4813</v>
      </c>
      <c r="E10" s="70">
        <f t="shared" ref="E10:E25" si="2">SUM(C10:D10)</f>
        <v>9617</v>
      </c>
      <c r="F10" s="139"/>
      <c r="G10" s="110" t="s">
        <v>8</v>
      </c>
      <c r="H10" s="71">
        <f>SUM(C11:C12)</f>
        <v>9966</v>
      </c>
      <c r="I10" s="70">
        <f>SUM(D11:D12)</f>
        <v>9773</v>
      </c>
      <c r="J10" s="70">
        <f t="shared" si="1"/>
        <v>19739</v>
      </c>
    </row>
    <row r="11" spans="2:10" x14ac:dyDescent="0.25">
      <c r="B11" s="107" t="s">
        <v>59</v>
      </c>
      <c r="C11" s="70">
        <f t="shared" si="0"/>
        <v>4961</v>
      </c>
      <c r="D11" s="71">
        <f t="shared" si="0"/>
        <v>4738</v>
      </c>
      <c r="E11" s="70">
        <f t="shared" si="2"/>
        <v>9699</v>
      </c>
      <c r="F11" s="139"/>
      <c r="G11" s="110" t="s">
        <v>10</v>
      </c>
      <c r="H11" s="71">
        <f>SUM(C13:C21)</f>
        <v>38376</v>
      </c>
      <c r="I11" s="70">
        <f>SUM(D13:D21)</f>
        <v>46224</v>
      </c>
      <c r="J11" s="70">
        <f t="shared" si="1"/>
        <v>84600</v>
      </c>
    </row>
    <row r="12" spans="2:10" ht="15.75" thickBot="1" x14ac:dyDescent="0.3">
      <c r="B12" s="107" t="s">
        <v>11</v>
      </c>
      <c r="C12" s="70">
        <f t="shared" si="0"/>
        <v>5005</v>
      </c>
      <c r="D12" s="71">
        <f t="shared" si="0"/>
        <v>5035</v>
      </c>
      <c r="E12" s="70">
        <f t="shared" si="2"/>
        <v>10040</v>
      </c>
      <c r="F12" s="139"/>
      <c r="G12" s="110" t="s">
        <v>12</v>
      </c>
      <c r="H12" s="71">
        <f>SUM(C22:C25)</f>
        <v>7483</v>
      </c>
      <c r="I12" s="70">
        <f>SUM(D22:D25)</f>
        <v>11035</v>
      </c>
      <c r="J12" s="70">
        <f t="shared" si="1"/>
        <v>18518</v>
      </c>
    </row>
    <row r="13" spans="2:10" ht="15.75" thickBot="1" x14ac:dyDescent="0.3">
      <c r="B13" s="107" t="s">
        <v>13</v>
      </c>
      <c r="C13" s="70">
        <f t="shared" si="0"/>
        <v>5271</v>
      </c>
      <c r="D13" s="71">
        <f t="shared" si="0"/>
        <v>5766</v>
      </c>
      <c r="E13" s="70">
        <f t="shared" si="2"/>
        <v>11037</v>
      </c>
      <c r="F13" s="139"/>
      <c r="G13" s="81" t="s">
        <v>14</v>
      </c>
      <c r="H13" s="78">
        <f>SUM(H9:H12)</f>
        <v>63376</v>
      </c>
      <c r="I13" s="78">
        <f t="shared" ref="I13:J13" si="3">SUM(I9:I12)</f>
        <v>74371</v>
      </c>
      <c r="J13" s="78">
        <f t="shared" si="3"/>
        <v>137747</v>
      </c>
    </row>
    <row r="14" spans="2:10" ht="15.75" thickBot="1" x14ac:dyDescent="0.3">
      <c r="B14" s="107" t="s">
        <v>15</v>
      </c>
      <c r="C14" s="70">
        <f t="shared" si="0"/>
        <v>4993</v>
      </c>
      <c r="D14" s="71">
        <f t="shared" si="0"/>
        <v>6013</v>
      </c>
      <c r="E14" s="70">
        <f t="shared" si="2"/>
        <v>11006</v>
      </c>
      <c r="F14" s="139"/>
    </row>
    <row r="15" spans="2:10" x14ac:dyDescent="0.25">
      <c r="B15" s="107" t="s">
        <v>16</v>
      </c>
      <c r="C15" s="70">
        <f t="shared" si="0"/>
        <v>4260</v>
      </c>
      <c r="D15" s="71">
        <f t="shared" si="0"/>
        <v>5244</v>
      </c>
      <c r="E15" s="70">
        <f t="shared" si="2"/>
        <v>9504</v>
      </c>
      <c r="F15" s="139"/>
      <c r="G15" s="269" t="s">
        <v>150</v>
      </c>
      <c r="H15" s="250">
        <f>+H39+H63+H87+H111+H135+H159+H183+H207</f>
        <v>668</v>
      </c>
      <c r="I15" s="267" t="s">
        <v>60</v>
      </c>
      <c r="J15" s="69">
        <f>SUM(C13:C17)</f>
        <v>22482</v>
      </c>
    </row>
    <row r="16" spans="2:10" ht="15.75" thickBot="1" x14ac:dyDescent="0.3">
      <c r="B16" s="107" t="s">
        <v>17</v>
      </c>
      <c r="C16" s="70">
        <f t="shared" si="0"/>
        <v>4029</v>
      </c>
      <c r="D16" s="71">
        <f t="shared" si="0"/>
        <v>5153</v>
      </c>
      <c r="E16" s="70">
        <f t="shared" si="2"/>
        <v>9182</v>
      </c>
      <c r="F16" s="139"/>
      <c r="G16" s="85" t="s">
        <v>151</v>
      </c>
      <c r="H16" s="251">
        <f t="shared" ref="H16:H25" si="4">+H40+H64+H88+H112+H136+H160+H184+H208</f>
        <v>470</v>
      </c>
      <c r="I16" s="268" t="s">
        <v>61</v>
      </c>
      <c r="J16" s="51">
        <f>SUM(D18:D21)</f>
        <v>19005</v>
      </c>
    </row>
    <row r="17" spans="1:10" ht="15.75" thickBot="1" x14ac:dyDescent="0.3">
      <c r="B17" s="107" t="s">
        <v>18</v>
      </c>
      <c r="C17" s="70">
        <f t="shared" si="0"/>
        <v>3929</v>
      </c>
      <c r="D17" s="71">
        <f t="shared" si="0"/>
        <v>5043</v>
      </c>
      <c r="E17" s="70">
        <f t="shared" si="2"/>
        <v>8972</v>
      </c>
      <c r="F17" s="139"/>
      <c r="G17" s="85" t="s">
        <v>152</v>
      </c>
      <c r="H17" s="251">
        <f t="shared" si="4"/>
        <v>880</v>
      </c>
      <c r="I17" s="47"/>
    </row>
    <row r="18" spans="1:10" x14ac:dyDescent="0.25">
      <c r="B18" s="107" t="s">
        <v>19</v>
      </c>
      <c r="C18" s="70">
        <f t="shared" si="0"/>
        <v>4185</v>
      </c>
      <c r="D18" s="71">
        <f t="shared" si="0"/>
        <v>5144</v>
      </c>
      <c r="E18" s="70">
        <f t="shared" si="2"/>
        <v>9329</v>
      </c>
      <c r="F18" s="139"/>
      <c r="G18" s="85" t="s">
        <v>89</v>
      </c>
      <c r="H18" s="251">
        <f t="shared" si="4"/>
        <v>1487</v>
      </c>
      <c r="I18" s="267" t="s">
        <v>153</v>
      </c>
      <c r="J18" s="69">
        <f>+H22+H23+H24+E11+E12</f>
        <v>25728</v>
      </c>
    </row>
    <row r="19" spans="1:10" ht="15.75" thickBot="1" x14ac:dyDescent="0.3">
      <c r="B19" s="107" t="s">
        <v>20</v>
      </c>
      <c r="C19" s="70">
        <f t="shared" si="0"/>
        <v>4416</v>
      </c>
      <c r="D19" s="71">
        <f t="shared" si="0"/>
        <v>5274</v>
      </c>
      <c r="E19" s="70">
        <f t="shared" si="2"/>
        <v>9690</v>
      </c>
      <c r="F19" s="139"/>
      <c r="G19" s="85" t="s">
        <v>90</v>
      </c>
      <c r="H19" s="251">
        <f t="shared" si="4"/>
        <v>1768</v>
      </c>
      <c r="I19" s="268" t="s">
        <v>64</v>
      </c>
      <c r="J19" s="51">
        <f>SUM(E9:E12)</f>
        <v>34629</v>
      </c>
    </row>
    <row r="20" spans="1:10" x14ac:dyDescent="0.25">
      <c r="B20" s="107" t="s">
        <v>21</v>
      </c>
      <c r="C20" s="70">
        <f t="shared" si="0"/>
        <v>4115</v>
      </c>
      <c r="D20" s="71">
        <f t="shared" si="0"/>
        <v>4669</v>
      </c>
      <c r="E20" s="70">
        <f t="shared" si="2"/>
        <v>8784</v>
      </c>
      <c r="F20" s="139"/>
      <c r="G20" s="85" t="s">
        <v>169</v>
      </c>
      <c r="H20" s="251">
        <f t="shared" si="4"/>
        <v>1804</v>
      </c>
      <c r="I20" s="104"/>
      <c r="J20" s="94"/>
    </row>
    <row r="21" spans="1:10" ht="15" customHeight="1" x14ac:dyDescent="0.25">
      <c r="B21" s="107" t="s">
        <v>22</v>
      </c>
      <c r="C21" s="70">
        <f t="shared" si="0"/>
        <v>3178</v>
      </c>
      <c r="D21" s="71">
        <f t="shared" si="0"/>
        <v>3918</v>
      </c>
      <c r="E21" s="70">
        <f t="shared" si="2"/>
        <v>7096</v>
      </c>
      <c r="F21" s="139"/>
      <c r="G21" s="85" t="s">
        <v>57</v>
      </c>
      <c r="H21" s="251">
        <f t="shared" si="4"/>
        <v>1824</v>
      </c>
      <c r="I21" s="98"/>
      <c r="J21" s="197"/>
    </row>
    <row r="22" spans="1:10" x14ac:dyDescent="0.25">
      <c r="B22" s="107" t="s">
        <v>23</v>
      </c>
      <c r="C22" s="70">
        <f t="shared" si="0"/>
        <v>2508</v>
      </c>
      <c r="D22" s="71">
        <f t="shared" si="0"/>
        <v>3175</v>
      </c>
      <c r="E22" s="70">
        <f t="shared" si="2"/>
        <v>5683</v>
      </c>
      <c r="F22" s="139"/>
      <c r="G22" s="85" t="s">
        <v>168</v>
      </c>
      <c r="H22" s="251">
        <f t="shared" si="4"/>
        <v>1981</v>
      </c>
      <c r="J22" s="111"/>
    </row>
    <row r="23" spans="1:10" x14ac:dyDescent="0.25">
      <c r="B23" s="107" t="s">
        <v>24</v>
      </c>
      <c r="C23" s="70">
        <f t="shared" si="0"/>
        <v>1933</v>
      </c>
      <c r="D23" s="71">
        <f t="shared" si="0"/>
        <v>2774</v>
      </c>
      <c r="E23" s="70">
        <f t="shared" si="2"/>
        <v>4707</v>
      </c>
      <c r="F23" s="139"/>
      <c r="G23" s="85" t="s">
        <v>170</v>
      </c>
      <c r="H23" s="251">
        <f t="shared" si="4"/>
        <v>2024</v>
      </c>
    </row>
    <row r="24" spans="1:10" x14ac:dyDescent="0.25">
      <c r="B24" s="107" t="s">
        <v>25</v>
      </c>
      <c r="C24" s="70">
        <f t="shared" si="0"/>
        <v>1447</v>
      </c>
      <c r="D24" s="71">
        <f t="shared" si="0"/>
        <v>2076</v>
      </c>
      <c r="E24" s="70">
        <f t="shared" si="2"/>
        <v>3523</v>
      </c>
      <c r="F24" s="111"/>
      <c r="G24" s="85" t="s">
        <v>171</v>
      </c>
      <c r="H24" s="251">
        <f t="shared" si="4"/>
        <v>1984</v>
      </c>
      <c r="I24" s="111"/>
      <c r="J24" s="111"/>
    </row>
    <row r="25" spans="1:10" x14ac:dyDescent="0.25">
      <c r="B25" s="107" t="s">
        <v>26</v>
      </c>
      <c r="C25" s="70">
        <f t="shared" si="0"/>
        <v>1595</v>
      </c>
      <c r="D25" s="71">
        <f t="shared" si="0"/>
        <v>3010</v>
      </c>
      <c r="E25" s="70">
        <f t="shared" si="2"/>
        <v>4605</v>
      </c>
      <c r="F25" s="111"/>
      <c r="G25" s="85" t="s">
        <v>58</v>
      </c>
      <c r="H25" s="251">
        <f t="shared" si="4"/>
        <v>1881</v>
      </c>
      <c r="I25" s="111"/>
      <c r="J25" s="111"/>
    </row>
    <row r="26" spans="1:10" ht="15.75" thickBot="1" x14ac:dyDescent="0.3">
      <c r="B26" s="107" t="s">
        <v>98</v>
      </c>
      <c r="C26" s="70">
        <f>SUM(C50,C74,C98,C122,C146,C170,C194,C218)</f>
        <v>0</v>
      </c>
      <c r="D26" s="71">
        <f>SUM(D50,D74,D98,D122,D146,D170,D194,D218)</f>
        <v>0</v>
      </c>
      <c r="E26" s="70">
        <f>SUM(C26:D26)</f>
        <v>0</v>
      </c>
      <c r="F26" s="111"/>
      <c r="G26" s="144" t="s">
        <v>63</v>
      </c>
      <c r="H26" s="252">
        <f>+H50+H74+H98+H122+H146+H170+H194+H218</f>
        <v>1599</v>
      </c>
    </row>
    <row r="27" spans="1:10" ht="15.75" thickBot="1" x14ac:dyDescent="0.3">
      <c r="B27" s="112" t="s">
        <v>14</v>
      </c>
      <c r="C27" s="74">
        <f>SUM(C9:C26)</f>
        <v>63376</v>
      </c>
      <c r="D27" s="74">
        <f>SUM(D9:D26)</f>
        <v>74371</v>
      </c>
      <c r="E27" s="74">
        <f>SUM(E9:E26)</f>
        <v>137747</v>
      </c>
      <c r="F27" s="111"/>
      <c r="G27" s="111"/>
      <c r="H27" s="111"/>
      <c r="I27" s="167"/>
      <c r="J27" s="167"/>
    </row>
    <row r="28" spans="1:10" x14ac:dyDescent="0.25">
      <c r="A28" s="167"/>
      <c r="B28" s="167"/>
      <c r="C28" s="167"/>
      <c r="D28" s="167"/>
      <c r="E28" s="167"/>
      <c r="F28" s="167"/>
      <c r="I28" s="167"/>
      <c r="J28" s="167"/>
    </row>
    <row r="29" spans="1:10" x14ac:dyDescent="0.25">
      <c r="A29" s="167"/>
      <c r="B29" s="276"/>
      <c r="C29" s="276"/>
      <c r="D29" s="276"/>
      <c r="E29" s="276"/>
      <c r="F29" s="276"/>
      <c r="G29" s="276"/>
      <c r="H29" s="276"/>
      <c r="I29" s="276"/>
      <c r="J29" s="276"/>
    </row>
    <row r="30" spans="1:10" s="47" customFormat="1" ht="20.25" customHeight="1" thickBot="1" x14ac:dyDescent="0.3">
      <c r="B30" s="135" t="s">
        <v>101</v>
      </c>
      <c r="C30" s="202"/>
      <c r="E30" s="174"/>
      <c r="F30" s="174"/>
      <c r="G30" s="58"/>
    </row>
    <row r="31" spans="1:10" ht="28.5" customHeight="1" thickBot="1" x14ac:dyDescent="0.3">
      <c r="B31" s="271" t="s">
        <v>45</v>
      </c>
      <c r="C31" s="273" t="s">
        <v>73</v>
      </c>
      <c r="D31" s="274"/>
      <c r="E31" s="275"/>
      <c r="F31" s="139"/>
      <c r="G31" s="271" t="s">
        <v>45</v>
      </c>
      <c r="H31" s="273" t="s">
        <v>73</v>
      </c>
      <c r="I31" s="274"/>
      <c r="J31" s="275"/>
    </row>
    <row r="32" spans="1:10" ht="15.75" thickBot="1" x14ac:dyDescent="0.3">
      <c r="B32" s="272"/>
      <c r="C32" s="145" t="s">
        <v>2</v>
      </c>
      <c r="D32" s="146" t="s">
        <v>3</v>
      </c>
      <c r="E32" s="147" t="s">
        <v>4</v>
      </c>
      <c r="F32" s="139"/>
      <c r="G32" s="272"/>
      <c r="H32" s="145" t="s">
        <v>2</v>
      </c>
      <c r="I32" s="146" t="s">
        <v>3</v>
      </c>
      <c r="J32" s="147" t="s">
        <v>4</v>
      </c>
    </row>
    <row r="33" spans="2:10" x14ac:dyDescent="0.25">
      <c r="B33" s="114" t="s">
        <v>5</v>
      </c>
      <c r="C33" s="115">
        <f>517+32</f>
        <v>549</v>
      </c>
      <c r="D33" s="116">
        <f>440+16</f>
        <v>456</v>
      </c>
      <c r="E33" s="69">
        <f t="shared" ref="E33:E50" si="5">SUM(C33:D33)</f>
        <v>1005</v>
      </c>
      <c r="F33" s="116"/>
      <c r="G33" s="117" t="s">
        <v>6</v>
      </c>
      <c r="H33" s="57">
        <f>SUM(C33:C34)</f>
        <v>1461</v>
      </c>
      <c r="I33" s="69">
        <f>SUM(D33:D34)</f>
        <v>1361</v>
      </c>
      <c r="J33" s="69">
        <f t="shared" ref="J33:J36" si="6">SUM(H33:I33)</f>
        <v>2822</v>
      </c>
    </row>
    <row r="34" spans="2:10" x14ac:dyDescent="0.25">
      <c r="B34" s="118" t="s">
        <v>7</v>
      </c>
      <c r="C34" s="119">
        <f>905+7</f>
        <v>912</v>
      </c>
      <c r="D34" s="116">
        <f>901+4</f>
        <v>905</v>
      </c>
      <c r="E34" s="70">
        <f t="shared" si="5"/>
        <v>1817</v>
      </c>
      <c r="F34" s="116"/>
      <c r="G34" s="120" t="s">
        <v>8</v>
      </c>
      <c r="H34" s="57">
        <f>SUM(C35:C36)</f>
        <v>1933</v>
      </c>
      <c r="I34" s="70">
        <f>SUM(D35:D36)</f>
        <v>1884</v>
      </c>
      <c r="J34" s="70">
        <f t="shared" si="6"/>
        <v>3817</v>
      </c>
    </row>
    <row r="35" spans="2:10" x14ac:dyDescent="0.25">
      <c r="B35" s="114" t="s">
        <v>59</v>
      </c>
      <c r="C35" s="119">
        <f>908+4</f>
        <v>912</v>
      </c>
      <c r="D35" s="116">
        <f>916+5</f>
        <v>921</v>
      </c>
      <c r="E35" s="70">
        <f t="shared" si="5"/>
        <v>1833</v>
      </c>
      <c r="F35" s="116"/>
      <c r="G35" s="120" t="s">
        <v>10</v>
      </c>
      <c r="H35" s="57">
        <f>SUM(C37:C45)</f>
        <v>8096</v>
      </c>
      <c r="I35" s="70">
        <f>SUM(D37:D45)</f>
        <v>8728</v>
      </c>
      <c r="J35" s="70">
        <f t="shared" si="6"/>
        <v>16824</v>
      </c>
    </row>
    <row r="36" spans="2:10" ht="15.75" thickBot="1" x14ac:dyDescent="0.3">
      <c r="B36" s="114" t="s">
        <v>11</v>
      </c>
      <c r="C36" s="119">
        <f>1020+1</f>
        <v>1021</v>
      </c>
      <c r="D36" s="116">
        <f>961+2</f>
        <v>963</v>
      </c>
      <c r="E36" s="70">
        <f t="shared" si="5"/>
        <v>1984</v>
      </c>
      <c r="F36" s="116"/>
      <c r="G36" s="120" t="s">
        <v>12</v>
      </c>
      <c r="H36" s="57">
        <f>SUM(C46:C49)</f>
        <v>1378</v>
      </c>
      <c r="I36" s="70">
        <f>SUM(D46:D49)</f>
        <v>1910</v>
      </c>
      <c r="J36" s="70">
        <f t="shared" si="6"/>
        <v>3288</v>
      </c>
    </row>
    <row r="37" spans="2:10" ht="15.75" thickBot="1" x14ac:dyDescent="0.3">
      <c r="B37" s="114" t="s">
        <v>13</v>
      </c>
      <c r="C37" s="119">
        <f>1048+5</f>
        <v>1053</v>
      </c>
      <c r="D37" s="116">
        <f>1092+7</f>
        <v>1099</v>
      </c>
      <c r="E37" s="70">
        <f t="shared" si="5"/>
        <v>2152</v>
      </c>
      <c r="F37" s="116"/>
      <c r="G37" s="121" t="s">
        <v>14</v>
      </c>
      <c r="H37" s="72">
        <f>SUM(H33:H36)</f>
        <v>12868</v>
      </c>
      <c r="I37" s="72">
        <f t="shared" ref="I37:J37" si="7">SUM(I33:I36)</f>
        <v>13883</v>
      </c>
      <c r="J37" s="72">
        <f t="shared" si="7"/>
        <v>26751</v>
      </c>
    </row>
    <row r="38" spans="2:10" ht="15.75" thickBot="1" x14ac:dyDescent="0.3">
      <c r="B38" s="114" t="s">
        <v>15</v>
      </c>
      <c r="C38" s="119">
        <f>1041+3</f>
        <v>1044</v>
      </c>
      <c r="D38" s="116">
        <f>1103+7</f>
        <v>1110</v>
      </c>
      <c r="E38" s="70">
        <f t="shared" si="5"/>
        <v>2154</v>
      </c>
      <c r="F38" s="116"/>
    </row>
    <row r="39" spans="2:10" x14ac:dyDescent="0.25">
      <c r="B39" s="114" t="s">
        <v>16</v>
      </c>
      <c r="C39" s="119">
        <f>877+6</f>
        <v>883</v>
      </c>
      <c r="D39" s="116">
        <f>931+2</f>
        <v>933</v>
      </c>
      <c r="E39" s="70">
        <f>SUM(C39:D39)</f>
        <v>1816</v>
      </c>
      <c r="F39" s="116"/>
      <c r="G39" s="171" t="s">
        <v>150</v>
      </c>
      <c r="H39" s="250">
        <f>66+16</f>
        <v>82</v>
      </c>
      <c r="I39" s="262" t="s">
        <v>60</v>
      </c>
      <c r="J39" s="69">
        <f>SUM(C37:C41)</f>
        <v>4652</v>
      </c>
    </row>
    <row r="40" spans="2:10" ht="15.75" thickBot="1" x14ac:dyDescent="0.3">
      <c r="B40" s="114" t="s">
        <v>17</v>
      </c>
      <c r="C40" s="119">
        <f>820+2</f>
        <v>822</v>
      </c>
      <c r="D40" s="116">
        <f>878+2</f>
        <v>880</v>
      </c>
      <c r="E40" s="70">
        <f t="shared" si="5"/>
        <v>1702</v>
      </c>
      <c r="F40" s="116"/>
      <c r="G40" s="172" t="s">
        <v>151</v>
      </c>
      <c r="H40" s="251">
        <f>79+12</f>
        <v>91</v>
      </c>
      <c r="I40" s="263" t="s">
        <v>61</v>
      </c>
      <c r="J40" s="51">
        <f>SUM(D42:D45)</f>
        <v>3771</v>
      </c>
    </row>
    <row r="41" spans="2:10" ht="15.75" thickBot="1" x14ac:dyDescent="0.3">
      <c r="B41" s="114" t="s">
        <v>18</v>
      </c>
      <c r="C41" s="119">
        <f>849+1</f>
        <v>850</v>
      </c>
      <c r="D41" s="116">
        <f>931+4</f>
        <v>935</v>
      </c>
      <c r="E41" s="70">
        <f t="shared" si="5"/>
        <v>1785</v>
      </c>
      <c r="F41" s="116"/>
      <c r="G41" s="172" t="s">
        <v>152</v>
      </c>
      <c r="H41" s="251">
        <f>178+17</f>
        <v>195</v>
      </c>
      <c r="I41" s="104"/>
      <c r="J41" s="94"/>
    </row>
    <row r="42" spans="2:10" x14ac:dyDescent="0.25">
      <c r="B42" s="114" t="s">
        <v>19</v>
      </c>
      <c r="C42" s="119">
        <f>874+1</f>
        <v>875</v>
      </c>
      <c r="D42" s="116">
        <f>996+4</f>
        <v>1000</v>
      </c>
      <c r="E42" s="70">
        <f t="shared" si="5"/>
        <v>1875</v>
      </c>
      <c r="F42" s="116"/>
      <c r="G42" s="172" t="s">
        <v>89</v>
      </c>
      <c r="H42" s="251">
        <f>306+3</f>
        <v>309</v>
      </c>
      <c r="I42" s="171" t="s">
        <v>153</v>
      </c>
      <c r="J42" s="198">
        <f>+H46+H47+H48+E35+E36</f>
        <v>4891</v>
      </c>
    </row>
    <row r="43" spans="2:10" ht="15.75" thickBot="1" x14ac:dyDescent="0.3">
      <c r="B43" s="114" t="s">
        <v>20</v>
      </c>
      <c r="C43" s="119">
        <f>967+2</f>
        <v>969</v>
      </c>
      <c r="D43" s="116">
        <v>1120</v>
      </c>
      <c r="E43" s="70">
        <f t="shared" si="5"/>
        <v>2089</v>
      </c>
      <c r="F43" s="116"/>
      <c r="G43" s="172" t="s">
        <v>90</v>
      </c>
      <c r="H43" s="251">
        <v>328</v>
      </c>
      <c r="I43" s="176" t="s">
        <v>64</v>
      </c>
      <c r="J43" s="199">
        <f>SUM(E33:E36)</f>
        <v>6639</v>
      </c>
    </row>
    <row r="44" spans="2:10" x14ac:dyDescent="0.25">
      <c r="B44" s="114" t="s">
        <v>21</v>
      </c>
      <c r="C44" s="119">
        <f>921+2</f>
        <v>923</v>
      </c>
      <c r="D44" s="116">
        <f>933+2</f>
        <v>935</v>
      </c>
      <c r="E44" s="70">
        <f t="shared" si="5"/>
        <v>1858</v>
      </c>
      <c r="F44" s="116"/>
      <c r="G44" s="172" t="s">
        <v>169</v>
      </c>
      <c r="H44" s="251">
        <f>375+2</f>
        <v>377</v>
      </c>
    </row>
    <row r="45" spans="2:10" x14ac:dyDescent="0.25">
      <c r="B45" s="114" t="s">
        <v>22</v>
      </c>
      <c r="C45" s="119">
        <f>675+2</f>
        <v>677</v>
      </c>
      <c r="D45" s="116">
        <f>715+1</f>
        <v>716</v>
      </c>
      <c r="E45" s="70">
        <f t="shared" si="5"/>
        <v>1393</v>
      </c>
      <c r="F45" s="116"/>
      <c r="G45" s="172" t="s">
        <v>57</v>
      </c>
      <c r="H45" s="251">
        <f>362+4</f>
        <v>366</v>
      </c>
    </row>
    <row r="46" spans="2:10" x14ac:dyDescent="0.25">
      <c r="B46" s="114" t="s">
        <v>23</v>
      </c>
      <c r="C46" s="119">
        <f>423+4</f>
        <v>427</v>
      </c>
      <c r="D46" s="116">
        <f>541+1</f>
        <v>542</v>
      </c>
      <c r="E46" s="70">
        <f t="shared" si="5"/>
        <v>969</v>
      </c>
      <c r="F46" s="116"/>
      <c r="G46" s="172" t="s">
        <v>168</v>
      </c>
      <c r="H46" s="251">
        <v>347</v>
      </c>
    </row>
    <row r="47" spans="2:10" x14ac:dyDescent="0.25">
      <c r="B47" s="114" t="s">
        <v>24</v>
      </c>
      <c r="C47" s="119">
        <f>348+2</f>
        <v>350</v>
      </c>
      <c r="D47" s="116">
        <f>441+2</f>
        <v>443</v>
      </c>
      <c r="E47" s="70">
        <f t="shared" si="5"/>
        <v>793</v>
      </c>
      <c r="F47" s="116"/>
      <c r="G47" s="172" t="s">
        <v>170</v>
      </c>
      <c r="H47" s="251">
        <f>351+3</f>
        <v>354</v>
      </c>
    </row>
    <row r="48" spans="2:10" x14ac:dyDescent="0.25">
      <c r="B48" s="114" t="s">
        <v>25</v>
      </c>
      <c r="C48" s="119">
        <v>261</v>
      </c>
      <c r="D48" s="116">
        <f>374+2</f>
        <v>376</v>
      </c>
      <c r="E48" s="70">
        <f t="shared" si="5"/>
        <v>637</v>
      </c>
      <c r="F48" s="116"/>
      <c r="G48" s="172" t="s">
        <v>171</v>
      </c>
      <c r="H48" s="251">
        <f>371+2</f>
        <v>373</v>
      </c>
    </row>
    <row r="49" spans="1:15" x14ac:dyDescent="0.25">
      <c r="B49" s="114" t="s">
        <v>26</v>
      </c>
      <c r="C49" s="119">
        <f>339+1</f>
        <v>340</v>
      </c>
      <c r="D49" s="116">
        <v>549</v>
      </c>
      <c r="E49" s="70">
        <f t="shared" si="5"/>
        <v>889</v>
      </c>
      <c r="F49" s="116"/>
      <c r="G49" s="172" t="s">
        <v>58</v>
      </c>
      <c r="H49" s="251">
        <f>338+3</f>
        <v>341</v>
      </c>
    </row>
    <row r="50" spans="1:15" ht="15.75" thickBot="1" x14ac:dyDescent="0.3">
      <c r="B50" s="114" t="s">
        <v>98</v>
      </c>
      <c r="C50" s="51"/>
      <c r="D50" s="57"/>
      <c r="E50" s="70">
        <f t="shared" si="5"/>
        <v>0</v>
      </c>
      <c r="F50" s="139"/>
      <c r="G50" s="176" t="s">
        <v>63</v>
      </c>
      <c r="H50" s="252">
        <f>369+1</f>
        <v>370</v>
      </c>
      <c r="I50" s="139"/>
    </row>
    <row r="51" spans="1:15" ht="15.75" thickBot="1" x14ac:dyDescent="0.3">
      <c r="B51" s="123" t="s">
        <v>14</v>
      </c>
      <c r="C51" s="73">
        <f>SUM(C33:C50)</f>
        <v>12868</v>
      </c>
      <c r="D51" s="73">
        <f>SUM(D33:D50)</f>
        <v>13883</v>
      </c>
      <c r="E51" s="73">
        <f>SUM(E33:E50)</f>
        <v>26751</v>
      </c>
      <c r="F51" s="139"/>
    </row>
    <row r="52" spans="1:15" x14ac:dyDescent="0.25">
      <c r="B52" s="47" t="s">
        <v>161</v>
      </c>
      <c r="C52" s="139"/>
      <c r="D52" s="139"/>
      <c r="E52" s="139"/>
      <c r="F52" s="139"/>
    </row>
    <row r="53" spans="1:15" x14ac:dyDescent="0.25">
      <c r="B53" s="47"/>
      <c r="C53" s="139"/>
      <c r="D53" s="139"/>
      <c r="E53" s="139"/>
      <c r="F53" s="139"/>
      <c r="G53" s="47"/>
    </row>
    <row r="54" spans="1:15" ht="20.25" customHeight="1" thickBot="1" x14ac:dyDescent="0.3">
      <c r="B54" s="47" t="s">
        <v>102</v>
      </c>
      <c r="C54" s="203"/>
      <c r="E54" s="200"/>
      <c r="F54" s="139"/>
      <c r="G54" s="47"/>
    </row>
    <row r="55" spans="1:15" ht="28.5" customHeight="1" thickBot="1" x14ac:dyDescent="0.3">
      <c r="A55" s="47"/>
      <c r="B55" s="271" t="s">
        <v>45</v>
      </c>
      <c r="C55" s="273" t="s">
        <v>74</v>
      </c>
      <c r="D55" s="274"/>
      <c r="E55" s="275"/>
      <c r="F55" s="139"/>
      <c r="G55" s="271" t="s">
        <v>45</v>
      </c>
      <c r="H55" s="273" t="s">
        <v>74</v>
      </c>
      <c r="I55" s="274"/>
      <c r="J55" s="275"/>
      <c r="K55" s="47"/>
      <c r="L55" s="47"/>
      <c r="M55" s="47"/>
      <c r="N55" s="47"/>
      <c r="O55" s="47"/>
    </row>
    <row r="56" spans="1:15" ht="15.75" thickBot="1" x14ac:dyDescent="0.3">
      <c r="A56" s="47"/>
      <c r="B56" s="272"/>
      <c r="C56" s="145" t="s">
        <v>2</v>
      </c>
      <c r="D56" s="146" t="s">
        <v>3</v>
      </c>
      <c r="E56" s="147" t="s">
        <v>4</v>
      </c>
      <c r="F56" s="139"/>
      <c r="G56" s="272"/>
      <c r="H56" s="145" t="s">
        <v>2</v>
      </c>
      <c r="I56" s="146" t="s">
        <v>3</v>
      </c>
      <c r="J56" s="147" t="s">
        <v>4</v>
      </c>
      <c r="K56" s="47"/>
      <c r="L56" s="47"/>
      <c r="M56" s="47"/>
      <c r="N56" s="47"/>
      <c r="O56" s="47"/>
    </row>
    <row r="57" spans="1:15" x14ac:dyDescent="0.25">
      <c r="B57" s="114" t="s">
        <v>5</v>
      </c>
      <c r="C57" s="115">
        <f>573+1</f>
        <v>574</v>
      </c>
      <c r="D57" s="116">
        <v>544</v>
      </c>
      <c r="E57" s="69">
        <f t="shared" ref="E57:E74" si="8">SUM(C57:D57)</f>
        <v>1118</v>
      </c>
      <c r="F57" s="148"/>
      <c r="G57" s="117" t="s">
        <v>6</v>
      </c>
      <c r="H57" s="57">
        <f>SUM(C57:C58)</f>
        <v>1612</v>
      </c>
      <c r="I57" s="69">
        <f>SUM(D57:D58)</f>
        <v>1594</v>
      </c>
      <c r="J57" s="69">
        <f t="shared" ref="J57:J60" si="9">SUM(H57:I57)</f>
        <v>3206</v>
      </c>
    </row>
    <row r="58" spans="1:15" x14ac:dyDescent="0.25">
      <c r="A58" s="47"/>
      <c r="B58" s="118" t="s">
        <v>7</v>
      </c>
      <c r="C58" s="119">
        <v>1038</v>
      </c>
      <c r="D58" s="116">
        <v>1050</v>
      </c>
      <c r="E58" s="70">
        <f t="shared" si="8"/>
        <v>2088</v>
      </c>
      <c r="F58" s="148"/>
      <c r="G58" s="120" t="s">
        <v>8</v>
      </c>
      <c r="H58" s="57">
        <f>SUM(C59:C60)</f>
        <v>2163</v>
      </c>
      <c r="I58" s="70">
        <f>SUM(D59:D60)</f>
        <v>2188</v>
      </c>
      <c r="J58" s="70">
        <f t="shared" si="9"/>
        <v>4351</v>
      </c>
      <c r="K58" s="47"/>
      <c r="L58" s="47"/>
      <c r="M58" s="47"/>
      <c r="N58" s="47"/>
      <c r="O58" s="47"/>
    </row>
    <row r="59" spans="1:15" x14ac:dyDescent="0.25">
      <c r="A59" s="47"/>
      <c r="B59" s="114" t="s">
        <v>59</v>
      </c>
      <c r="C59" s="119">
        <v>1061</v>
      </c>
      <c r="D59" s="116">
        <v>1062</v>
      </c>
      <c r="E59" s="70">
        <f t="shared" si="8"/>
        <v>2123</v>
      </c>
      <c r="F59" s="148"/>
      <c r="G59" s="120" t="s">
        <v>10</v>
      </c>
      <c r="H59" s="57">
        <f>SUM(C61:C69)</f>
        <v>9285</v>
      </c>
      <c r="I59" s="70">
        <f>SUM(D61:D69)</f>
        <v>11537</v>
      </c>
      <c r="J59" s="70">
        <f t="shared" si="9"/>
        <v>20822</v>
      </c>
      <c r="K59" s="47"/>
      <c r="L59" s="47"/>
      <c r="M59" s="47"/>
      <c r="N59" s="47"/>
      <c r="O59" s="47"/>
    </row>
    <row r="60" spans="1:15" ht="15.75" thickBot="1" x14ac:dyDescent="0.3">
      <c r="A60" s="47"/>
      <c r="B60" s="114" t="s">
        <v>11</v>
      </c>
      <c r="C60" s="119">
        <v>1102</v>
      </c>
      <c r="D60" s="116">
        <v>1126</v>
      </c>
      <c r="E60" s="70">
        <f t="shared" si="8"/>
        <v>2228</v>
      </c>
      <c r="F60" s="148"/>
      <c r="G60" s="120" t="s">
        <v>12</v>
      </c>
      <c r="H60" s="57">
        <f>SUM(C70:C73)</f>
        <v>2543</v>
      </c>
      <c r="I60" s="70">
        <f>SUM(D70:D73)</f>
        <v>4073</v>
      </c>
      <c r="J60" s="70">
        <f t="shared" si="9"/>
        <v>6616</v>
      </c>
      <c r="K60" s="47"/>
      <c r="L60" s="47"/>
      <c r="M60" s="47"/>
      <c r="N60" s="47"/>
      <c r="O60" s="47"/>
    </row>
    <row r="61" spans="1:15" ht="15.75" thickBot="1" x14ac:dyDescent="0.3">
      <c r="A61" s="47"/>
      <c r="B61" s="114" t="s">
        <v>13</v>
      </c>
      <c r="C61" s="119">
        <v>1251</v>
      </c>
      <c r="D61" s="116">
        <v>1427</v>
      </c>
      <c r="E61" s="70">
        <f t="shared" si="8"/>
        <v>2678</v>
      </c>
      <c r="F61" s="148"/>
      <c r="G61" s="121" t="s">
        <v>14</v>
      </c>
      <c r="H61" s="72">
        <f>SUM(H57:H60)</f>
        <v>15603</v>
      </c>
      <c r="I61" s="72">
        <f t="shared" ref="I61:J61" si="10">SUM(I57:I60)</f>
        <v>19392</v>
      </c>
      <c r="J61" s="72">
        <f t="shared" si="10"/>
        <v>34995</v>
      </c>
      <c r="K61" s="47"/>
      <c r="L61" s="47"/>
      <c r="M61" s="47"/>
      <c r="N61" s="47"/>
      <c r="O61" s="47"/>
    </row>
    <row r="62" spans="1:15" ht="15.75" thickBot="1" x14ac:dyDescent="0.3">
      <c r="A62" s="47"/>
      <c r="B62" s="114" t="s">
        <v>15</v>
      </c>
      <c r="C62" s="119">
        <v>1236</v>
      </c>
      <c r="D62" s="116">
        <v>1532</v>
      </c>
      <c r="E62" s="70">
        <f t="shared" si="8"/>
        <v>2768</v>
      </c>
      <c r="F62" s="148"/>
      <c r="K62" s="47"/>
      <c r="L62" s="47"/>
      <c r="M62" s="47"/>
      <c r="N62" s="47"/>
      <c r="O62" s="47"/>
    </row>
    <row r="63" spans="1:15" x14ac:dyDescent="0.25">
      <c r="A63" s="47"/>
      <c r="B63" s="114" t="s">
        <v>16</v>
      </c>
      <c r="C63" s="119">
        <v>1073</v>
      </c>
      <c r="D63" s="116">
        <v>1250</v>
      </c>
      <c r="E63" s="70">
        <f t="shared" si="8"/>
        <v>2323</v>
      </c>
      <c r="F63" s="148"/>
      <c r="G63" s="171" t="s">
        <v>150</v>
      </c>
      <c r="H63" s="115">
        <v>217</v>
      </c>
      <c r="I63" s="262" t="s">
        <v>60</v>
      </c>
      <c r="J63" s="69">
        <f>SUM(C61:C65)</f>
        <v>5367</v>
      </c>
      <c r="K63" s="47"/>
      <c r="L63" s="47"/>
      <c r="M63" s="47"/>
      <c r="N63" s="47"/>
      <c r="O63" s="47"/>
    </row>
    <row r="64" spans="1:15" ht="15.75" thickBot="1" x14ac:dyDescent="0.3">
      <c r="A64" s="47"/>
      <c r="B64" s="114" t="s">
        <v>17</v>
      </c>
      <c r="C64" s="119">
        <v>924</v>
      </c>
      <c r="D64" s="116">
        <v>1230</v>
      </c>
      <c r="E64" s="70">
        <f t="shared" si="8"/>
        <v>2154</v>
      </c>
      <c r="F64" s="148"/>
      <c r="G64" s="172" t="s">
        <v>151</v>
      </c>
      <c r="H64" s="119">
        <v>77</v>
      </c>
      <c r="I64" s="263" t="s">
        <v>61</v>
      </c>
      <c r="J64" s="51">
        <f>SUM(D66:D69)</f>
        <v>4912</v>
      </c>
      <c r="K64" s="47"/>
      <c r="L64" s="47"/>
      <c r="M64" s="47"/>
      <c r="N64" s="47"/>
      <c r="O64" s="47"/>
    </row>
    <row r="65" spans="1:15" ht="15.75" thickBot="1" x14ac:dyDescent="0.3">
      <c r="A65" s="47"/>
      <c r="B65" s="114" t="s">
        <v>18</v>
      </c>
      <c r="C65" s="119">
        <v>883</v>
      </c>
      <c r="D65" s="116">
        <v>1186</v>
      </c>
      <c r="E65" s="70">
        <f t="shared" si="8"/>
        <v>2069</v>
      </c>
      <c r="F65" s="148"/>
      <c r="G65" s="172" t="s">
        <v>152</v>
      </c>
      <c r="H65" s="119">
        <f>161+1</f>
        <v>162</v>
      </c>
      <c r="I65" s="104"/>
      <c r="J65" s="94"/>
      <c r="K65" s="47"/>
      <c r="L65" s="47"/>
      <c r="M65" s="47"/>
      <c r="N65" s="47"/>
      <c r="O65" s="47"/>
    </row>
    <row r="66" spans="1:15" x14ac:dyDescent="0.25">
      <c r="A66" s="47"/>
      <c r="B66" s="114" t="s">
        <v>19</v>
      </c>
      <c r="C66" s="119">
        <v>1031</v>
      </c>
      <c r="D66" s="116">
        <v>1255</v>
      </c>
      <c r="E66" s="70">
        <f t="shared" si="8"/>
        <v>2286</v>
      </c>
      <c r="F66" s="148"/>
      <c r="G66" s="172" t="s">
        <v>89</v>
      </c>
      <c r="H66" s="119">
        <v>308</v>
      </c>
      <c r="I66" s="171" t="s">
        <v>153</v>
      </c>
      <c r="J66" s="198">
        <f>+H70+H71+H72+E59+E60</f>
        <v>5716</v>
      </c>
      <c r="K66" s="47"/>
      <c r="L66" s="47"/>
      <c r="M66" s="47"/>
      <c r="N66" s="47"/>
      <c r="O66" s="47"/>
    </row>
    <row r="67" spans="1:15" ht="15.75" thickBot="1" x14ac:dyDescent="0.3">
      <c r="A67" s="47"/>
      <c r="B67" s="114" t="s">
        <v>20</v>
      </c>
      <c r="C67" s="119">
        <f>1014+1</f>
        <v>1015</v>
      </c>
      <c r="D67" s="116">
        <v>1280</v>
      </c>
      <c r="E67" s="70">
        <f t="shared" si="8"/>
        <v>2295</v>
      </c>
      <c r="F67" s="148"/>
      <c r="G67" s="172" t="s">
        <v>90</v>
      </c>
      <c r="H67" s="119">
        <v>354</v>
      </c>
      <c r="I67" s="176" t="s">
        <v>64</v>
      </c>
      <c r="J67" s="199">
        <f>SUM(E57:E60)</f>
        <v>7557</v>
      </c>
      <c r="K67" s="47"/>
      <c r="L67" s="47"/>
      <c r="M67" s="47"/>
      <c r="N67" s="47"/>
      <c r="O67" s="47"/>
    </row>
    <row r="68" spans="1:15" x14ac:dyDescent="0.25">
      <c r="A68" s="47"/>
      <c r="B68" s="114" t="s">
        <v>21</v>
      </c>
      <c r="C68" s="119">
        <v>1017</v>
      </c>
      <c r="D68" s="116">
        <f>1212+1</f>
        <v>1213</v>
      </c>
      <c r="E68" s="70">
        <f t="shared" si="8"/>
        <v>2230</v>
      </c>
      <c r="F68" s="148"/>
      <c r="G68" s="172" t="s">
        <v>169</v>
      </c>
      <c r="H68" s="119">
        <v>386</v>
      </c>
      <c r="K68" s="47"/>
      <c r="L68" s="47"/>
      <c r="M68" s="47"/>
      <c r="N68" s="47"/>
      <c r="O68" s="47"/>
    </row>
    <row r="69" spans="1:15" x14ac:dyDescent="0.25">
      <c r="A69" s="47"/>
      <c r="B69" s="114" t="s">
        <v>22</v>
      </c>
      <c r="C69" s="119">
        <v>855</v>
      </c>
      <c r="D69" s="116">
        <v>1164</v>
      </c>
      <c r="E69" s="70">
        <f t="shared" si="8"/>
        <v>2019</v>
      </c>
      <c r="F69" s="148"/>
      <c r="G69" s="172" t="s">
        <v>57</v>
      </c>
      <c r="H69" s="119">
        <v>337</v>
      </c>
      <c r="K69" s="47"/>
      <c r="L69" s="47"/>
      <c r="M69" s="47"/>
      <c r="N69" s="47"/>
      <c r="O69" s="47"/>
    </row>
    <row r="70" spans="1:15" x14ac:dyDescent="0.25">
      <c r="A70" s="47"/>
      <c r="B70" s="114" t="s">
        <v>23</v>
      </c>
      <c r="C70" s="119">
        <v>753</v>
      </c>
      <c r="D70" s="116">
        <v>1099</v>
      </c>
      <c r="E70" s="70">
        <f t="shared" si="8"/>
        <v>1852</v>
      </c>
      <c r="F70" s="148"/>
      <c r="G70" s="172" t="s">
        <v>168</v>
      </c>
      <c r="H70" s="119">
        <v>456</v>
      </c>
      <c r="K70" s="47"/>
      <c r="L70" s="47"/>
      <c r="M70" s="47"/>
      <c r="N70" s="47"/>
      <c r="O70" s="47"/>
    </row>
    <row r="71" spans="1:15" x14ac:dyDescent="0.25">
      <c r="A71" s="47"/>
      <c r="B71" s="114" t="s">
        <v>24</v>
      </c>
      <c r="C71" s="119">
        <v>654</v>
      </c>
      <c r="D71" s="116">
        <v>971</v>
      </c>
      <c r="E71" s="70">
        <f t="shared" si="8"/>
        <v>1625</v>
      </c>
      <c r="F71" s="148"/>
      <c r="G71" s="172" t="s">
        <v>170</v>
      </c>
      <c r="H71" s="119">
        <v>454</v>
      </c>
      <c r="K71" s="47"/>
      <c r="L71" s="47"/>
      <c r="M71" s="47"/>
      <c r="N71" s="47"/>
      <c r="O71" s="47"/>
    </row>
    <row r="72" spans="1:15" x14ac:dyDescent="0.25">
      <c r="A72" s="47"/>
      <c r="B72" s="114" t="s">
        <v>25</v>
      </c>
      <c r="C72" s="119">
        <v>539</v>
      </c>
      <c r="D72" s="116">
        <v>779</v>
      </c>
      <c r="E72" s="70">
        <f t="shared" si="8"/>
        <v>1318</v>
      </c>
      <c r="F72" s="148"/>
      <c r="G72" s="172" t="s">
        <v>171</v>
      </c>
      <c r="H72" s="119">
        <v>455</v>
      </c>
      <c r="K72" s="47"/>
      <c r="L72" s="47"/>
      <c r="M72" s="47"/>
      <c r="N72" s="47"/>
      <c r="O72" s="47"/>
    </row>
    <row r="73" spans="1:15" x14ac:dyDescent="0.25">
      <c r="A73" s="47"/>
      <c r="B73" s="114" t="s">
        <v>26</v>
      </c>
      <c r="C73" s="119">
        <v>597</v>
      </c>
      <c r="D73" s="116">
        <v>1224</v>
      </c>
      <c r="E73" s="70">
        <f t="shared" si="8"/>
        <v>1821</v>
      </c>
      <c r="F73" s="148"/>
      <c r="G73" s="172" t="s">
        <v>58</v>
      </c>
      <c r="H73" s="119">
        <v>418</v>
      </c>
      <c r="K73" s="47"/>
      <c r="L73" s="47"/>
      <c r="M73" s="47"/>
      <c r="N73" s="47"/>
      <c r="O73" s="47"/>
    </row>
    <row r="74" spans="1:15" ht="15.75" thickBot="1" x14ac:dyDescent="0.3">
      <c r="A74" s="47"/>
      <c r="B74" s="114" t="s">
        <v>98</v>
      </c>
      <c r="C74" s="51"/>
      <c r="D74" s="57"/>
      <c r="E74" s="70">
        <f t="shared" si="8"/>
        <v>0</v>
      </c>
      <c r="F74" s="204">
        <v>13</v>
      </c>
      <c r="G74" s="176" t="s">
        <v>63</v>
      </c>
      <c r="H74" s="122">
        <v>444</v>
      </c>
      <c r="I74" s="139"/>
      <c r="K74" s="47"/>
      <c r="L74" s="47"/>
      <c r="M74" s="47"/>
      <c r="N74" s="47"/>
      <c r="O74" s="47"/>
    </row>
    <row r="75" spans="1:15" ht="15.75" thickBot="1" x14ac:dyDescent="0.3">
      <c r="A75" s="47"/>
      <c r="B75" s="123" t="s">
        <v>14</v>
      </c>
      <c r="C75" s="73">
        <f>SUM(C57:C74)</f>
        <v>15603</v>
      </c>
      <c r="D75" s="73">
        <f>SUM(D57:D74)</f>
        <v>19392</v>
      </c>
      <c r="E75" s="73">
        <f>SUM(E57:E74)</f>
        <v>34995</v>
      </c>
      <c r="F75" s="148"/>
      <c r="K75" s="47"/>
      <c r="L75" s="47"/>
      <c r="M75" s="47"/>
      <c r="N75" s="47"/>
      <c r="O75" s="47"/>
    </row>
    <row r="76" spans="1:15" x14ac:dyDescent="0.25">
      <c r="A76" s="47"/>
      <c r="B76" s="47" t="s">
        <v>162</v>
      </c>
      <c r="C76" s="148"/>
      <c r="D76" s="148"/>
      <c r="E76" s="148"/>
      <c r="F76" s="148"/>
      <c r="K76" s="47"/>
      <c r="L76" s="47"/>
      <c r="M76" s="47"/>
      <c r="N76" s="47"/>
      <c r="O76" s="47"/>
    </row>
    <row r="77" spans="1:15" x14ac:dyDescent="0.25">
      <c r="A77" s="47"/>
      <c r="B77" s="47"/>
      <c r="C77" s="148"/>
      <c r="D77" s="148"/>
      <c r="E77" s="148"/>
      <c r="F77" s="148"/>
      <c r="K77" s="47"/>
      <c r="L77" s="47"/>
      <c r="M77" s="47"/>
      <c r="N77" s="47"/>
      <c r="O77" s="47"/>
    </row>
    <row r="78" spans="1:15" ht="19.5" customHeight="1" thickBot="1" x14ac:dyDescent="0.3">
      <c r="A78" s="47"/>
      <c r="B78" s="47" t="s">
        <v>103</v>
      </c>
      <c r="C78" s="201"/>
      <c r="D78" s="201"/>
      <c r="E78" s="186"/>
      <c r="F78" s="148"/>
      <c r="K78" s="47"/>
      <c r="L78" s="47"/>
      <c r="M78" s="47"/>
      <c r="N78" s="47"/>
      <c r="O78" s="47"/>
    </row>
    <row r="79" spans="1:15" ht="26.25" customHeight="1" thickBot="1" x14ac:dyDescent="0.3">
      <c r="A79" s="47"/>
      <c r="B79" s="271" t="s">
        <v>45</v>
      </c>
      <c r="C79" s="273" t="s">
        <v>75</v>
      </c>
      <c r="D79" s="274"/>
      <c r="E79" s="275"/>
      <c r="F79" s="148"/>
      <c r="G79" s="271" t="s">
        <v>45</v>
      </c>
      <c r="H79" s="273" t="s">
        <v>75</v>
      </c>
      <c r="I79" s="274"/>
      <c r="J79" s="275"/>
      <c r="K79" s="47"/>
      <c r="L79" s="47"/>
      <c r="M79" s="47"/>
      <c r="N79" s="47"/>
      <c r="O79" s="47"/>
    </row>
    <row r="80" spans="1:15" ht="15.75" thickBot="1" x14ac:dyDescent="0.3">
      <c r="A80" s="47"/>
      <c r="B80" s="272"/>
      <c r="C80" s="145" t="s">
        <v>2</v>
      </c>
      <c r="D80" s="146" t="s">
        <v>3</v>
      </c>
      <c r="E80" s="147" t="s">
        <v>4</v>
      </c>
      <c r="F80" s="148"/>
      <c r="G80" s="272"/>
      <c r="H80" s="145" t="s">
        <v>2</v>
      </c>
      <c r="I80" s="146" t="s">
        <v>3</v>
      </c>
      <c r="J80" s="147" t="s">
        <v>4</v>
      </c>
      <c r="K80" s="47"/>
      <c r="L80" s="47"/>
      <c r="M80" s="47"/>
      <c r="N80" s="47"/>
      <c r="O80" s="47"/>
    </row>
    <row r="81" spans="1:15" x14ac:dyDescent="0.25">
      <c r="A81" s="47"/>
      <c r="B81" s="114" t="s">
        <v>5</v>
      </c>
      <c r="C81" s="115">
        <v>347</v>
      </c>
      <c r="D81" s="116">
        <v>330</v>
      </c>
      <c r="E81" s="69">
        <f t="shared" ref="E81:E98" si="11">SUM(C81:D81)</f>
        <v>677</v>
      </c>
      <c r="F81" s="148"/>
      <c r="G81" s="117" t="s">
        <v>6</v>
      </c>
      <c r="H81" s="57">
        <f>SUM(C81:C82)</f>
        <v>743</v>
      </c>
      <c r="I81" s="69">
        <f>SUM(D81:D82)</f>
        <v>724</v>
      </c>
      <c r="J81" s="69">
        <f t="shared" ref="J81:J84" si="12">SUM(H81:I81)</f>
        <v>1467</v>
      </c>
      <c r="K81" s="47"/>
      <c r="L81" s="47"/>
      <c r="M81" s="47"/>
      <c r="N81" s="47"/>
      <c r="O81" s="47"/>
    </row>
    <row r="82" spans="1:15" x14ac:dyDescent="0.25">
      <c r="A82" s="47"/>
      <c r="B82" s="118" t="s">
        <v>7</v>
      </c>
      <c r="C82" s="119">
        <v>396</v>
      </c>
      <c r="D82" s="116">
        <v>394</v>
      </c>
      <c r="E82" s="70">
        <f t="shared" si="11"/>
        <v>790</v>
      </c>
      <c r="F82" s="148"/>
      <c r="G82" s="120" t="s">
        <v>8</v>
      </c>
      <c r="H82" s="57">
        <f>SUM(C83:C84)</f>
        <v>804</v>
      </c>
      <c r="I82" s="70">
        <f>SUM(D83:D84)</f>
        <v>755</v>
      </c>
      <c r="J82" s="70">
        <f t="shared" si="12"/>
        <v>1559</v>
      </c>
      <c r="K82" s="47"/>
      <c r="L82" s="47"/>
      <c r="M82" s="47"/>
      <c r="N82" s="47"/>
      <c r="O82" s="47"/>
    </row>
    <row r="83" spans="1:15" x14ac:dyDescent="0.25">
      <c r="A83" s="47"/>
      <c r="B83" s="114" t="s">
        <v>59</v>
      </c>
      <c r="C83" s="119">
        <v>408</v>
      </c>
      <c r="D83" s="116">
        <v>357</v>
      </c>
      <c r="E83" s="70">
        <f t="shared" si="11"/>
        <v>765</v>
      </c>
      <c r="F83" s="148"/>
      <c r="G83" s="120" t="s">
        <v>10</v>
      </c>
      <c r="H83" s="57">
        <f>SUM(C85:C93)</f>
        <v>2985</v>
      </c>
      <c r="I83" s="70">
        <f>SUM(D85:D93)</f>
        <v>3843</v>
      </c>
      <c r="J83" s="70">
        <f t="shared" si="12"/>
        <v>6828</v>
      </c>
      <c r="K83" s="47"/>
      <c r="L83" s="47"/>
      <c r="M83" s="47"/>
      <c r="N83" s="47"/>
      <c r="O83" s="47"/>
    </row>
    <row r="84" spans="1:15" ht="15.75" thickBot="1" x14ac:dyDescent="0.3">
      <c r="A84" s="47"/>
      <c r="B84" s="114" t="s">
        <v>11</v>
      </c>
      <c r="C84" s="119">
        <v>396</v>
      </c>
      <c r="D84" s="116">
        <v>398</v>
      </c>
      <c r="E84" s="70">
        <f t="shared" si="11"/>
        <v>794</v>
      </c>
      <c r="F84" s="148"/>
      <c r="G84" s="120" t="s">
        <v>12</v>
      </c>
      <c r="H84" s="57">
        <f>SUM(C94:C97)</f>
        <v>594</v>
      </c>
      <c r="I84" s="70">
        <f>SUM(D94:D97)</f>
        <v>779</v>
      </c>
      <c r="J84" s="70">
        <f t="shared" si="12"/>
        <v>1373</v>
      </c>
      <c r="K84" s="47"/>
      <c r="L84" s="47"/>
      <c r="M84" s="47"/>
      <c r="N84" s="47"/>
      <c r="O84" s="47"/>
    </row>
    <row r="85" spans="1:15" ht="15.75" thickBot="1" x14ac:dyDescent="0.3">
      <c r="A85" s="47"/>
      <c r="B85" s="114" t="s">
        <v>13</v>
      </c>
      <c r="C85" s="119">
        <v>390</v>
      </c>
      <c r="D85" s="116">
        <v>464</v>
      </c>
      <c r="E85" s="70">
        <f t="shared" si="11"/>
        <v>854</v>
      </c>
      <c r="F85" s="148"/>
      <c r="G85" s="121" t="s">
        <v>14</v>
      </c>
      <c r="H85" s="72">
        <f>SUM(H81:H84)</f>
        <v>5126</v>
      </c>
      <c r="I85" s="72">
        <f t="shared" ref="I85:J85" si="13">SUM(I81:I84)</f>
        <v>6101</v>
      </c>
      <c r="J85" s="72">
        <f t="shared" si="13"/>
        <v>11227</v>
      </c>
      <c r="K85" s="47"/>
      <c r="L85" s="47"/>
      <c r="M85" s="47"/>
      <c r="N85" s="47"/>
      <c r="O85" s="47"/>
    </row>
    <row r="86" spans="1:15" ht="15.75" thickBot="1" x14ac:dyDescent="0.3">
      <c r="A86" s="47"/>
      <c r="B86" s="114" t="s">
        <v>15</v>
      </c>
      <c r="C86" s="119">
        <v>372</v>
      </c>
      <c r="D86" s="116">
        <v>509</v>
      </c>
      <c r="E86" s="70">
        <f t="shared" si="11"/>
        <v>881</v>
      </c>
      <c r="F86" s="148"/>
      <c r="K86" s="47"/>
      <c r="L86" s="47"/>
      <c r="M86" s="47"/>
      <c r="N86" s="47"/>
      <c r="O86" s="47"/>
    </row>
    <row r="87" spans="1:15" x14ac:dyDescent="0.25">
      <c r="A87" s="47"/>
      <c r="B87" s="114" t="s">
        <v>16</v>
      </c>
      <c r="C87" s="119">
        <v>338</v>
      </c>
      <c r="D87" s="116">
        <v>495</v>
      </c>
      <c r="E87" s="70">
        <f t="shared" si="11"/>
        <v>833</v>
      </c>
      <c r="F87" s="148"/>
      <c r="G87" s="171" t="s">
        <v>150</v>
      </c>
      <c r="H87" s="115">
        <v>142</v>
      </c>
      <c r="I87" s="262" t="s">
        <v>60</v>
      </c>
      <c r="J87" s="69">
        <f>SUM(C85:C89)</f>
        <v>1752</v>
      </c>
      <c r="K87" s="47"/>
      <c r="L87" s="47"/>
      <c r="M87" s="47"/>
      <c r="N87" s="47"/>
      <c r="O87" s="47"/>
    </row>
    <row r="88" spans="1:15" ht="15.75" thickBot="1" x14ac:dyDescent="0.3">
      <c r="A88" s="47"/>
      <c r="B88" s="114" t="s">
        <v>17</v>
      </c>
      <c r="C88" s="119">
        <v>362</v>
      </c>
      <c r="D88" s="116">
        <v>440</v>
      </c>
      <c r="E88" s="70">
        <f t="shared" si="11"/>
        <v>802</v>
      </c>
      <c r="F88" s="148"/>
      <c r="G88" s="172" t="s">
        <v>151</v>
      </c>
      <c r="H88" s="119">
        <v>92</v>
      </c>
      <c r="I88" s="263" t="s">
        <v>61</v>
      </c>
      <c r="J88" s="51">
        <f>SUM(D90:D93)</f>
        <v>1513</v>
      </c>
      <c r="K88" s="47"/>
      <c r="L88" s="47"/>
      <c r="M88" s="47"/>
      <c r="N88" s="47"/>
      <c r="O88" s="47"/>
    </row>
    <row r="89" spans="1:15" ht="15.75" thickBot="1" x14ac:dyDescent="0.3">
      <c r="A89" s="47"/>
      <c r="B89" s="114" t="s">
        <v>18</v>
      </c>
      <c r="C89" s="119">
        <v>290</v>
      </c>
      <c r="D89" s="116">
        <v>422</v>
      </c>
      <c r="E89" s="70">
        <f t="shared" si="11"/>
        <v>712</v>
      </c>
      <c r="F89" s="148"/>
      <c r="G89" s="172" t="s">
        <v>152</v>
      </c>
      <c r="H89" s="119">
        <v>124</v>
      </c>
      <c r="I89" s="104"/>
      <c r="J89" s="94"/>
      <c r="K89" s="47"/>
      <c r="L89" s="47"/>
      <c r="M89" s="47"/>
      <c r="N89" s="47"/>
      <c r="O89" s="47"/>
    </row>
    <row r="90" spans="1:15" x14ac:dyDescent="0.25">
      <c r="A90" s="47"/>
      <c r="B90" s="114" t="s">
        <v>19</v>
      </c>
      <c r="C90" s="119">
        <v>307</v>
      </c>
      <c r="D90" s="116">
        <v>407</v>
      </c>
      <c r="E90" s="70">
        <f t="shared" si="11"/>
        <v>714</v>
      </c>
      <c r="F90" s="148"/>
      <c r="G90" s="172" t="s">
        <v>89</v>
      </c>
      <c r="H90" s="119">
        <v>171</v>
      </c>
      <c r="I90" s="171" t="s">
        <v>153</v>
      </c>
      <c r="J90" s="198">
        <f>+H94+H95+H96+E83+E84</f>
        <v>2073</v>
      </c>
      <c r="K90" s="47"/>
      <c r="L90" s="47"/>
      <c r="M90" s="47"/>
      <c r="N90" s="47"/>
      <c r="O90" s="47"/>
    </row>
    <row r="91" spans="1:15" ht="15.75" thickBot="1" x14ac:dyDescent="0.3">
      <c r="A91" s="47"/>
      <c r="B91" s="114" t="s">
        <v>20</v>
      </c>
      <c r="C91" s="119">
        <v>332</v>
      </c>
      <c r="D91" s="116">
        <v>397</v>
      </c>
      <c r="E91" s="70">
        <f t="shared" si="11"/>
        <v>729</v>
      </c>
      <c r="F91" s="148"/>
      <c r="G91" s="172" t="s">
        <v>90</v>
      </c>
      <c r="H91" s="119">
        <v>148</v>
      </c>
      <c r="I91" s="176" t="s">
        <v>64</v>
      </c>
      <c r="J91" s="199">
        <f>SUM(E81:E84)</f>
        <v>3026</v>
      </c>
    </row>
    <row r="92" spans="1:15" x14ac:dyDescent="0.25">
      <c r="A92" s="47"/>
      <c r="B92" s="114" t="s">
        <v>21</v>
      </c>
      <c r="C92" s="119">
        <v>337</v>
      </c>
      <c r="D92" s="116">
        <v>380</v>
      </c>
      <c r="E92" s="70">
        <f t="shared" si="11"/>
        <v>717</v>
      </c>
      <c r="F92" s="148"/>
      <c r="G92" s="172" t="s">
        <v>169</v>
      </c>
      <c r="H92" s="119">
        <v>138</v>
      </c>
    </row>
    <row r="93" spans="1:15" x14ac:dyDescent="0.25">
      <c r="A93" s="47"/>
      <c r="B93" s="114" t="s">
        <v>22</v>
      </c>
      <c r="C93" s="119">
        <v>257</v>
      </c>
      <c r="D93" s="116">
        <v>329</v>
      </c>
      <c r="E93" s="70">
        <f t="shared" si="11"/>
        <v>586</v>
      </c>
      <c r="F93" s="148"/>
      <c r="G93" s="172" t="s">
        <v>57</v>
      </c>
      <c r="H93" s="119">
        <v>138</v>
      </c>
    </row>
    <row r="94" spans="1:15" x14ac:dyDescent="0.25">
      <c r="A94" s="47"/>
      <c r="B94" s="114" t="s">
        <v>23</v>
      </c>
      <c r="C94" s="119">
        <v>216</v>
      </c>
      <c r="D94" s="116">
        <v>240</v>
      </c>
      <c r="E94" s="70">
        <f t="shared" si="11"/>
        <v>456</v>
      </c>
      <c r="F94" s="148"/>
      <c r="G94" s="172" t="s">
        <v>168</v>
      </c>
      <c r="H94" s="119">
        <v>182</v>
      </c>
    </row>
    <row r="95" spans="1:15" x14ac:dyDescent="0.25">
      <c r="A95" s="47"/>
      <c r="B95" s="114" t="s">
        <v>24</v>
      </c>
      <c r="C95" s="119">
        <v>171</v>
      </c>
      <c r="D95" s="116">
        <v>211</v>
      </c>
      <c r="E95" s="70">
        <f t="shared" si="11"/>
        <v>382</v>
      </c>
      <c r="F95" s="148"/>
      <c r="G95" s="172" t="s">
        <v>170</v>
      </c>
      <c r="H95" s="119">
        <v>193</v>
      </c>
    </row>
    <row r="96" spans="1:15" x14ac:dyDescent="0.25">
      <c r="A96" s="47"/>
      <c r="B96" s="114" t="s">
        <v>25</v>
      </c>
      <c r="C96" s="119">
        <v>109</v>
      </c>
      <c r="D96" s="116">
        <v>146</v>
      </c>
      <c r="E96" s="70">
        <f t="shared" si="11"/>
        <v>255</v>
      </c>
      <c r="F96" s="148"/>
      <c r="G96" s="172" t="s">
        <v>171</v>
      </c>
      <c r="H96" s="119">
        <v>139</v>
      </c>
    </row>
    <row r="97" spans="1:10" x14ac:dyDescent="0.25">
      <c r="A97" s="47"/>
      <c r="B97" s="114" t="s">
        <v>26</v>
      </c>
      <c r="C97" s="119">
        <v>98</v>
      </c>
      <c r="D97" s="116">
        <v>182</v>
      </c>
      <c r="E97" s="70">
        <f t="shared" si="11"/>
        <v>280</v>
      </c>
      <c r="F97" s="148"/>
      <c r="G97" s="172" t="s">
        <v>58</v>
      </c>
      <c r="H97" s="119">
        <v>142</v>
      </c>
    </row>
    <row r="98" spans="1:10" ht="15.75" thickBot="1" x14ac:dyDescent="0.3">
      <c r="A98" s="47"/>
      <c r="B98" s="114" t="s">
        <v>98</v>
      </c>
      <c r="C98" s="51"/>
      <c r="D98" s="57"/>
      <c r="E98" s="70">
        <f t="shared" si="11"/>
        <v>0</v>
      </c>
      <c r="F98" s="148"/>
      <c r="G98" s="176" t="s">
        <v>63</v>
      </c>
      <c r="H98" s="122">
        <v>119</v>
      </c>
      <c r="I98" s="139"/>
    </row>
    <row r="99" spans="1:10" ht="15.75" thickBot="1" x14ac:dyDescent="0.3">
      <c r="A99" s="47"/>
      <c r="B99" s="123" t="s">
        <v>14</v>
      </c>
      <c r="C99" s="73">
        <f>SUM(C81:C98)</f>
        <v>5126</v>
      </c>
      <c r="D99" s="73">
        <f>SUM(D81:D98)</f>
        <v>6101</v>
      </c>
      <c r="E99" s="73">
        <f>SUM(E81:E98)</f>
        <v>11227</v>
      </c>
      <c r="F99" s="148"/>
      <c r="G99" s="148"/>
      <c r="H99" s="148"/>
      <c r="I99" s="148"/>
      <c r="J99" s="205"/>
    </row>
    <row r="100" spans="1:10" x14ac:dyDescent="0.25">
      <c r="A100" s="47"/>
      <c r="B100" s="47"/>
      <c r="C100" s="47"/>
      <c r="D100" s="47"/>
      <c r="E100" s="47"/>
      <c r="F100" s="47"/>
      <c r="I100" s="205"/>
      <c r="J100" s="205"/>
    </row>
    <row r="101" spans="1:10" x14ac:dyDescent="0.25">
      <c r="A101" s="47"/>
      <c r="B101" s="47"/>
      <c r="C101" s="47"/>
      <c r="D101" s="47"/>
      <c r="E101" s="47"/>
      <c r="F101" s="47"/>
      <c r="G101" s="47"/>
      <c r="H101" s="153"/>
      <c r="I101" s="205"/>
      <c r="J101" s="205"/>
    </row>
    <row r="102" spans="1:10" ht="18" customHeight="1" thickBot="1" x14ac:dyDescent="0.3">
      <c r="A102" s="47"/>
      <c r="B102" s="47" t="s">
        <v>104</v>
      </c>
      <c r="C102" s="47"/>
      <c r="D102" s="47"/>
      <c r="E102" s="200"/>
      <c r="F102" s="148"/>
      <c r="G102" s="47"/>
      <c r="H102" s="201"/>
      <c r="I102" s="201"/>
      <c r="J102" s="201"/>
    </row>
    <row r="103" spans="1:10" s="206" customFormat="1" ht="26.25" customHeight="1" thickBot="1" x14ac:dyDescent="0.3">
      <c r="B103" s="271" t="s">
        <v>45</v>
      </c>
      <c r="C103" s="273" t="s">
        <v>76</v>
      </c>
      <c r="D103" s="274"/>
      <c r="E103" s="275"/>
      <c r="F103" s="148"/>
      <c r="G103" s="271" t="s">
        <v>45</v>
      </c>
      <c r="H103" s="273" t="s">
        <v>76</v>
      </c>
      <c r="I103" s="274"/>
      <c r="J103" s="275"/>
    </row>
    <row r="104" spans="1:10" ht="15.75" thickBot="1" x14ac:dyDescent="0.3">
      <c r="B104" s="272"/>
      <c r="C104" s="145" t="s">
        <v>2</v>
      </c>
      <c r="D104" s="146" t="s">
        <v>3</v>
      </c>
      <c r="E104" s="147" t="s">
        <v>4</v>
      </c>
      <c r="F104" s="148"/>
      <c r="G104" s="272"/>
      <c r="H104" s="145" t="s">
        <v>2</v>
      </c>
      <c r="I104" s="146" t="s">
        <v>3</v>
      </c>
      <c r="J104" s="147" t="s">
        <v>4</v>
      </c>
    </row>
    <row r="105" spans="1:10" x14ac:dyDescent="0.25">
      <c r="B105" s="114" t="s">
        <v>5</v>
      </c>
      <c r="C105" s="115">
        <v>568</v>
      </c>
      <c r="D105" s="116">
        <v>513</v>
      </c>
      <c r="E105" s="69">
        <f>SUM(C105:D105)</f>
        <v>1081</v>
      </c>
      <c r="F105" s="148"/>
      <c r="G105" s="117" t="s">
        <v>6</v>
      </c>
      <c r="H105" s="57">
        <f>SUM(C105:C106)</f>
        <v>1222</v>
      </c>
      <c r="I105" s="69">
        <f>SUM(D105:D106)</f>
        <v>1212</v>
      </c>
      <c r="J105" s="69">
        <f t="shared" ref="J105:J108" si="14">SUM(H105:I105)</f>
        <v>2434</v>
      </c>
    </row>
    <row r="106" spans="1:10" x14ac:dyDescent="0.25">
      <c r="B106" s="118" t="s">
        <v>7</v>
      </c>
      <c r="C106" s="119">
        <v>654</v>
      </c>
      <c r="D106" s="116">
        <v>699</v>
      </c>
      <c r="E106" s="70">
        <f t="shared" ref="E106:E122" si="15">SUM(C106:D106)</f>
        <v>1353</v>
      </c>
      <c r="F106" s="148"/>
      <c r="G106" s="120" t="s">
        <v>8</v>
      </c>
      <c r="H106" s="57">
        <f>SUM(C107:C108)</f>
        <v>1529</v>
      </c>
      <c r="I106" s="70">
        <f>SUM(D107:D108)</f>
        <v>1484</v>
      </c>
      <c r="J106" s="70">
        <f t="shared" si="14"/>
        <v>3013</v>
      </c>
    </row>
    <row r="107" spans="1:10" x14ac:dyDescent="0.25">
      <c r="B107" s="114" t="s">
        <v>9</v>
      </c>
      <c r="C107" s="119">
        <v>782</v>
      </c>
      <c r="D107" s="116">
        <v>679</v>
      </c>
      <c r="E107" s="70">
        <f t="shared" si="15"/>
        <v>1461</v>
      </c>
      <c r="F107" s="148"/>
      <c r="G107" s="120" t="s">
        <v>10</v>
      </c>
      <c r="H107" s="57">
        <f>SUM(C109:C117)</f>
        <v>5926</v>
      </c>
      <c r="I107" s="70">
        <f>SUM(D109:D117)</f>
        <v>7222</v>
      </c>
      <c r="J107" s="70">
        <f t="shared" si="14"/>
        <v>13148</v>
      </c>
    </row>
    <row r="108" spans="1:10" ht="15.75" thickBot="1" x14ac:dyDescent="0.3">
      <c r="B108" s="114" t="s">
        <v>11</v>
      </c>
      <c r="C108" s="119">
        <v>747</v>
      </c>
      <c r="D108" s="116">
        <v>805</v>
      </c>
      <c r="E108" s="70">
        <f t="shared" si="15"/>
        <v>1552</v>
      </c>
      <c r="F108" s="148"/>
      <c r="G108" s="120" t="s">
        <v>12</v>
      </c>
      <c r="H108" s="57">
        <f>SUM(C118:C121)</f>
        <v>1061</v>
      </c>
      <c r="I108" s="70">
        <f>SUM(D118:D121)</f>
        <v>1490</v>
      </c>
      <c r="J108" s="70">
        <f t="shared" si="14"/>
        <v>2551</v>
      </c>
    </row>
    <row r="109" spans="1:10" ht="15.75" thickBot="1" x14ac:dyDescent="0.3">
      <c r="B109" s="114" t="s">
        <v>13</v>
      </c>
      <c r="C109" s="119">
        <v>818</v>
      </c>
      <c r="D109" s="116">
        <v>890</v>
      </c>
      <c r="E109" s="70">
        <f t="shared" si="15"/>
        <v>1708</v>
      </c>
      <c r="F109" s="148"/>
      <c r="G109" s="121" t="s">
        <v>14</v>
      </c>
      <c r="H109" s="72">
        <f>SUM(H105:H108)</f>
        <v>9738</v>
      </c>
      <c r="I109" s="72">
        <f t="shared" ref="I109" si="16">SUM(I105:I108)</f>
        <v>11408</v>
      </c>
      <c r="J109" s="72">
        <f t="shared" ref="J109" si="17">SUM(J105:J108)</f>
        <v>21146</v>
      </c>
    </row>
    <row r="110" spans="1:10" ht="15.75" thickBot="1" x14ac:dyDescent="0.3">
      <c r="B110" s="114" t="s">
        <v>15</v>
      </c>
      <c r="C110" s="119">
        <v>816</v>
      </c>
      <c r="D110" s="116">
        <v>883</v>
      </c>
      <c r="E110" s="70">
        <f t="shared" si="15"/>
        <v>1699</v>
      </c>
      <c r="F110" s="148"/>
    </row>
    <row r="111" spans="1:10" x14ac:dyDescent="0.25">
      <c r="B111" s="114" t="s">
        <v>16</v>
      </c>
      <c r="C111" s="119">
        <v>645</v>
      </c>
      <c r="D111" s="116">
        <v>824</v>
      </c>
      <c r="E111" s="70">
        <f t="shared" si="15"/>
        <v>1469</v>
      </c>
      <c r="F111" s="148"/>
      <c r="G111" s="171" t="s">
        <v>150</v>
      </c>
      <c r="H111" s="115">
        <v>197</v>
      </c>
      <c r="I111" s="262" t="s">
        <v>60</v>
      </c>
      <c r="J111" s="69">
        <f>SUM(C109:C113)</f>
        <v>3461</v>
      </c>
    </row>
    <row r="112" spans="1:10" ht="15.75" thickBot="1" x14ac:dyDescent="0.3">
      <c r="B112" s="114" t="s">
        <v>17</v>
      </c>
      <c r="C112" s="119">
        <v>594</v>
      </c>
      <c r="D112" s="116">
        <v>782</v>
      </c>
      <c r="E112" s="70">
        <f t="shared" si="15"/>
        <v>1376</v>
      </c>
      <c r="F112" s="148"/>
      <c r="G112" s="172" t="s">
        <v>151</v>
      </c>
      <c r="H112" s="119">
        <v>184</v>
      </c>
      <c r="I112" s="263" t="s">
        <v>61</v>
      </c>
      <c r="J112" s="51">
        <f>SUM(D114:D117)</f>
        <v>3091</v>
      </c>
    </row>
    <row r="113" spans="2:10" ht="15.75" thickBot="1" x14ac:dyDescent="0.3">
      <c r="B113" s="114" t="s">
        <v>18</v>
      </c>
      <c r="C113" s="119">
        <v>588</v>
      </c>
      <c r="D113" s="116">
        <v>752</v>
      </c>
      <c r="E113" s="70">
        <f t="shared" si="15"/>
        <v>1340</v>
      </c>
      <c r="F113" s="148"/>
      <c r="G113" s="172" t="s">
        <v>152</v>
      </c>
      <c r="H113" s="119">
        <v>176</v>
      </c>
      <c r="I113" s="104"/>
      <c r="J113" s="94"/>
    </row>
    <row r="114" spans="2:10" x14ac:dyDescent="0.25">
      <c r="B114" s="114" t="s">
        <v>19</v>
      </c>
      <c r="C114" s="119">
        <v>631</v>
      </c>
      <c r="D114" s="116">
        <v>808</v>
      </c>
      <c r="E114" s="70">
        <f t="shared" si="15"/>
        <v>1439</v>
      </c>
      <c r="F114" s="148"/>
      <c r="G114" s="172" t="s">
        <v>89</v>
      </c>
      <c r="H114" s="119">
        <v>248</v>
      </c>
      <c r="I114" s="171" t="s">
        <v>153</v>
      </c>
      <c r="J114" s="198">
        <f>+H118+H119+H120+E107+E108</f>
        <v>3878</v>
      </c>
    </row>
    <row r="115" spans="2:10" ht="15.75" thickBot="1" x14ac:dyDescent="0.3">
      <c r="B115" s="114" t="s">
        <v>20</v>
      </c>
      <c r="C115" s="119">
        <v>682</v>
      </c>
      <c r="D115" s="116">
        <v>874</v>
      </c>
      <c r="E115" s="70">
        <f t="shared" si="15"/>
        <v>1556</v>
      </c>
      <c r="F115" s="148"/>
      <c r="G115" s="172" t="s">
        <v>90</v>
      </c>
      <c r="H115" s="119">
        <v>276</v>
      </c>
      <c r="I115" s="176" t="s">
        <v>64</v>
      </c>
      <c r="J115" s="199">
        <f>SUM(E105:E108)</f>
        <v>5447</v>
      </c>
    </row>
    <row r="116" spans="2:10" x14ac:dyDescent="0.25">
      <c r="B116" s="114" t="s">
        <v>21</v>
      </c>
      <c r="C116" s="119">
        <v>622</v>
      </c>
      <c r="D116" s="116">
        <v>789</v>
      </c>
      <c r="E116" s="70">
        <f t="shared" si="15"/>
        <v>1411</v>
      </c>
      <c r="F116" s="148"/>
      <c r="G116" s="172" t="s">
        <v>169</v>
      </c>
      <c r="H116" s="119">
        <v>217</v>
      </c>
    </row>
    <row r="117" spans="2:10" x14ac:dyDescent="0.25">
      <c r="B117" s="114" t="s">
        <v>22</v>
      </c>
      <c r="C117" s="119">
        <v>530</v>
      </c>
      <c r="D117" s="116">
        <v>620</v>
      </c>
      <c r="E117" s="70">
        <f t="shared" si="15"/>
        <v>1150</v>
      </c>
      <c r="F117" s="148"/>
      <c r="G117" s="172" t="s">
        <v>57</v>
      </c>
      <c r="H117" s="119">
        <v>271</v>
      </c>
    </row>
    <row r="118" spans="2:10" x14ac:dyDescent="0.25">
      <c r="B118" s="114" t="s">
        <v>23</v>
      </c>
      <c r="C118" s="119">
        <v>408</v>
      </c>
      <c r="D118" s="116">
        <v>474</v>
      </c>
      <c r="E118" s="70">
        <f t="shared" si="15"/>
        <v>882</v>
      </c>
      <c r="F118" s="148"/>
      <c r="G118" s="172" t="s">
        <v>168</v>
      </c>
      <c r="H118" s="119">
        <v>262</v>
      </c>
    </row>
    <row r="119" spans="2:10" x14ac:dyDescent="0.25">
      <c r="B119" s="114" t="s">
        <v>24</v>
      </c>
      <c r="C119" s="119">
        <v>274</v>
      </c>
      <c r="D119" s="116">
        <v>397</v>
      </c>
      <c r="E119" s="70">
        <f t="shared" si="15"/>
        <v>671</v>
      </c>
      <c r="F119" s="148"/>
      <c r="G119" s="172" t="s">
        <v>170</v>
      </c>
      <c r="H119" s="119">
        <v>300</v>
      </c>
    </row>
    <row r="120" spans="2:10" x14ac:dyDescent="0.25">
      <c r="B120" s="114" t="s">
        <v>25</v>
      </c>
      <c r="C120" s="119">
        <v>200</v>
      </c>
      <c r="D120" s="116">
        <v>280</v>
      </c>
      <c r="E120" s="70">
        <f t="shared" si="15"/>
        <v>480</v>
      </c>
      <c r="F120" s="148"/>
      <c r="G120" s="172" t="s">
        <v>171</v>
      </c>
      <c r="H120" s="119">
        <v>303</v>
      </c>
    </row>
    <row r="121" spans="2:10" x14ac:dyDescent="0.25">
      <c r="B121" s="114" t="s">
        <v>26</v>
      </c>
      <c r="C121" s="119">
        <v>179</v>
      </c>
      <c r="D121" s="116">
        <v>339</v>
      </c>
      <c r="E121" s="70">
        <f t="shared" si="15"/>
        <v>518</v>
      </c>
      <c r="F121" s="148"/>
      <c r="G121" s="172" t="s">
        <v>58</v>
      </c>
      <c r="H121" s="119">
        <v>259</v>
      </c>
    </row>
    <row r="122" spans="2:10" ht="15.75" thickBot="1" x14ac:dyDescent="0.3">
      <c r="B122" s="114" t="s">
        <v>98</v>
      </c>
      <c r="C122" s="51"/>
      <c r="D122" s="57"/>
      <c r="E122" s="70">
        <f t="shared" si="15"/>
        <v>0</v>
      </c>
      <c r="F122" s="148"/>
      <c r="G122" s="176" t="s">
        <v>63</v>
      </c>
      <c r="H122" s="122">
        <v>230</v>
      </c>
      <c r="I122" s="139"/>
    </row>
    <row r="123" spans="2:10" ht="15.75" thickBot="1" x14ac:dyDescent="0.3">
      <c r="B123" s="123" t="s">
        <v>14</v>
      </c>
      <c r="C123" s="73">
        <f>SUM(C105:C122)</f>
        <v>9738</v>
      </c>
      <c r="D123" s="73">
        <f>SUM(D105:D122)</f>
        <v>11408</v>
      </c>
      <c r="E123" s="73">
        <f>SUM(E105:E122)</f>
        <v>21146</v>
      </c>
      <c r="F123" s="148"/>
      <c r="G123" s="148"/>
      <c r="H123" s="148"/>
      <c r="I123" s="47"/>
      <c r="J123" s="47"/>
    </row>
    <row r="124" spans="2:10" x14ac:dyDescent="0.25">
      <c r="B124" s="148"/>
      <c r="C124" s="148"/>
      <c r="D124" s="148"/>
      <c r="E124" s="148"/>
      <c r="F124" s="148"/>
      <c r="I124" s="47"/>
      <c r="J124" s="47"/>
    </row>
    <row r="125" spans="2:10" x14ac:dyDescent="0.25">
      <c r="B125" s="148"/>
      <c r="C125" s="148"/>
      <c r="D125" s="148"/>
      <c r="E125" s="148"/>
      <c r="F125" s="148"/>
      <c r="G125" s="148"/>
      <c r="H125" s="148"/>
      <c r="I125" s="47"/>
      <c r="J125" s="47"/>
    </row>
    <row r="126" spans="2:10" ht="18.75" customHeight="1" thickBot="1" x14ac:dyDescent="0.3">
      <c r="B126" s="47" t="s">
        <v>105</v>
      </c>
      <c r="C126" s="47"/>
      <c r="D126" s="47"/>
      <c r="E126" s="200"/>
      <c r="F126" s="148"/>
      <c r="G126" s="47"/>
      <c r="H126" s="47"/>
      <c r="I126" s="47"/>
      <c r="J126" s="47"/>
    </row>
    <row r="127" spans="2:10" s="206" customFormat="1" ht="26.25" customHeight="1" thickBot="1" x14ac:dyDescent="0.3">
      <c r="B127" s="271" t="s">
        <v>45</v>
      </c>
      <c r="C127" s="273" t="s">
        <v>77</v>
      </c>
      <c r="D127" s="274"/>
      <c r="E127" s="275"/>
      <c r="F127" s="148"/>
      <c r="G127" s="271" t="s">
        <v>45</v>
      </c>
      <c r="H127" s="273" t="s">
        <v>77</v>
      </c>
      <c r="I127" s="274"/>
      <c r="J127" s="275"/>
    </row>
    <row r="128" spans="2:10" ht="15.75" thickBot="1" x14ac:dyDescent="0.3">
      <c r="B128" s="272"/>
      <c r="C128" s="145" t="s">
        <v>2</v>
      </c>
      <c r="D128" s="146" t="s">
        <v>3</v>
      </c>
      <c r="E128" s="147" t="s">
        <v>4</v>
      </c>
      <c r="F128" s="148"/>
      <c r="G128" s="272"/>
      <c r="H128" s="145" t="s">
        <v>2</v>
      </c>
      <c r="I128" s="146" t="s">
        <v>3</v>
      </c>
      <c r="J128" s="147" t="s">
        <v>4</v>
      </c>
    </row>
    <row r="129" spans="2:10" x14ac:dyDescent="0.25">
      <c r="B129" s="114" t="s">
        <v>5</v>
      </c>
      <c r="C129" s="115">
        <v>273</v>
      </c>
      <c r="D129" s="116">
        <v>262</v>
      </c>
      <c r="E129" s="69">
        <f t="shared" ref="E129:E146" si="18">SUM(C129:D129)</f>
        <v>535</v>
      </c>
      <c r="F129" s="148"/>
      <c r="G129" s="117" t="s">
        <v>6</v>
      </c>
      <c r="H129" s="57">
        <f>SUM(C129:C130)</f>
        <v>923</v>
      </c>
      <c r="I129" s="69">
        <f>SUM(D129:D130)</f>
        <v>921</v>
      </c>
      <c r="J129" s="69">
        <f t="shared" ref="J129:J132" si="19">SUM(H129:I129)</f>
        <v>1844</v>
      </c>
    </row>
    <row r="130" spans="2:10" x14ac:dyDescent="0.25">
      <c r="B130" s="118" t="s">
        <v>7</v>
      </c>
      <c r="C130" s="119">
        <v>650</v>
      </c>
      <c r="D130" s="116">
        <v>659</v>
      </c>
      <c r="E130" s="70">
        <f t="shared" si="18"/>
        <v>1309</v>
      </c>
      <c r="F130" s="148"/>
      <c r="G130" s="120" t="s">
        <v>8</v>
      </c>
      <c r="H130" s="57">
        <f>SUM(C131:C132)</f>
        <v>1336</v>
      </c>
      <c r="I130" s="70">
        <f>SUM(D131:D132)</f>
        <v>1298</v>
      </c>
      <c r="J130" s="70">
        <f t="shared" si="19"/>
        <v>2634</v>
      </c>
    </row>
    <row r="131" spans="2:10" x14ac:dyDescent="0.25">
      <c r="B131" s="114" t="s">
        <v>59</v>
      </c>
      <c r="C131" s="119">
        <v>663</v>
      </c>
      <c r="D131" s="116">
        <v>647</v>
      </c>
      <c r="E131" s="70">
        <f t="shared" si="18"/>
        <v>1310</v>
      </c>
      <c r="F131" s="148"/>
      <c r="G131" s="120" t="s">
        <v>10</v>
      </c>
      <c r="H131" s="57">
        <f>SUM(C133:C141)</f>
        <v>5054</v>
      </c>
      <c r="I131" s="70">
        <f>SUM(D133:D141)</f>
        <v>6460</v>
      </c>
      <c r="J131" s="70">
        <f t="shared" si="19"/>
        <v>11514</v>
      </c>
    </row>
    <row r="132" spans="2:10" ht="15.75" thickBot="1" x14ac:dyDescent="0.3">
      <c r="B132" s="114" t="s">
        <v>11</v>
      </c>
      <c r="C132" s="119">
        <v>673</v>
      </c>
      <c r="D132" s="116">
        <v>651</v>
      </c>
      <c r="E132" s="70">
        <f t="shared" si="18"/>
        <v>1324</v>
      </c>
      <c r="F132" s="148"/>
      <c r="G132" s="120" t="s">
        <v>12</v>
      </c>
      <c r="H132" s="57">
        <f>SUM(C142:C145)</f>
        <v>1039</v>
      </c>
      <c r="I132" s="70">
        <f>SUM(D142:D145)</f>
        <v>1607</v>
      </c>
      <c r="J132" s="70">
        <f t="shared" si="19"/>
        <v>2646</v>
      </c>
    </row>
    <row r="133" spans="2:10" ht="15.75" thickBot="1" x14ac:dyDescent="0.3">
      <c r="B133" s="114" t="s">
        <v>13</v>
      </c>
      <c r="C133" s="119">
        <v>704</v>
      </c>
      <c r="D133" s="116">
        <v>794</v>
      </c>
      <c r="E133" s="70">
        <f t="shared" si="18"/>
        <v>1498</v>
      </c>
      <c r="F133" s="148"/>
      <c r="G133" s="121" t="s">
        <v>14</v>
      </c>
      <c r="H133" s="72">
        <f>SUM(H129:H132)</f>
        <v>8352</v>
      </c>
      <c r="I133" s="72">
        <f t="shared" ref="I133" si="20">SUM(I129:I132)</f>
        <v>10286</v>
      </c>
      <c r="J133" s="72">
        <f t="shared" ref="J133" si="21">SUM(J129:J132)</f>
        <v>18638</v>
      </c>
    </row>
    <row r="134" spans="2:10" ht="15.75" thickBot="1" x14ac:dyDescent="0.3">
      <c r="B134" s="114" t="s">
        <v>15</v>
      </c>
      <c r="C134" s="119">
        <v>659</v>
      </c>
      <c r="D134" s="116">
        <v>875</v>
      </c>
      <c r="E134" s="70">
        <f t="shared" si="18"/>
        <v>1534</v>
      </c>
      <c r="F134" s="148"/>
    </row>
    <row r="135" spans="2:10" x14ac:dyDescent="0.25">
      <c r="B135" s="114" t="s">
        <v>16</v>
      </c>
      <c r="C135" s="119">
        <v>528</v>
      </c>
      <c r="D135" s="116">
        <v>708</v>
      </c>
      <c r="E135" s="70">
        <f t="shared" si="18"/>
        <v>1236</v>
      </c>
      <c r="F135" s="148"/>
      <c r="G135" s="171" t="s">
        <v>150</v>
      </c>
      <c r="H135" s="115">
        <v>19</v>
      </c>
      <c r="I135" s="262" t="s">
        <v>60</v>
      </c>
      <c r="J135" s="69">
        <f>SUM(C133:C137)</f>
        <v>2904</v>
      </c>
    </row>
    <row r="136" spans="2:10" ht="15.75" thickBot="1" x14ac:dyDescent="0.3">
      <c r="B136" s="114" t="s">
        <v>17</v>
      </c>
      <c r="C136" s="119">
        <v>511</v>
      </c>
      <c r="D136" s="116">
        <v>744</v>
      </c>
      <c r="E136" s="70">
        <f t="shared" si="18"/>
        <v>1255</v>
      </c>
      <c r="F136" s="148"/>
      <c r="G136" s="172" t="s">
        <v>151</v>
      </c>
      <c r="H136" s="119">
        <v>12</v>
      </c>
      <c r="I136" s="263" t="s">
        <v>61</v>
      </c>
      <c r="J136" s="51">
        <f>SUM(D138:D141)</f>
        <v>2612</v>
      </c>
    </row>
    <row r="137" spans="2:10" ht="15.75" thickBot="1" x14ac:dyDescent="0.3">
      <c r="B137" s="114" t="s">
        <v>18</v>
      </c>
      <c r="C137" s="119">
        <v>502</v>
      </c>
      <c r="D137" s="116">
        <v>727</v>
      </c>
      <c r="E137" s="70">
        <f t="shared" si="18"/>
        <v>1229</v>
      </c>
      <c r="F137" s="148"/>
      <c r="G137" s="172" t="s">
        <v>152</v>
      </c>
      <c r="H137" s="119">
        <v>104</v>
      </c>
      <c r="I137" s="104"/>
      <c r="J137" s="94"/>
    </row>
    <row r="138" spans="2:10" x14ac:dyDescent="0.25">
      <c r="B138" s="114" t="s">
        <v>19</v>
      </c>
      <c r="C138" s="119">
        <v>550</v>
      </c>
      <c r="D138" s="116">
        <v>695</v>
      </c>
      <c r="E138" s="70">
        <f t="shared" si="18"/>
        <v>1245</v>
      </c>
      <c r="F138" s="148"/>
      <c r="G138" s="172" t="s">
        <v>89</v>
      </c>
      <c r="H138" s="119">
        <v>160</v>
      </c>
      <c r="I138" s="171" t="s">
        <v>153</v>
      </c>
      <c r="J138" s="198">
        <f>+H142+H143+H144+E131+E132</f>
        <v>3434</v>
      </c>
    </row>
    <row r="139" spans="2:10" ht="15.75" thickBot="1" x14ac:dyDescent="0.3">
      <c r="B139" s="114" t="s">
        <v>20</v>
      </c>
      <c r="C139" s="119">
        <v>592</v>
      </c>
      <c r="D139" s="116">
        <v>689</v>
      </c>
      <c r="E139" s="70">
        <f t="shared" si="18"/>
        <v>1281</v>
      </c>
      <c r="F139" s="148"/>
      <c r="G139" s="172" t="s">
        <v>90</v>
      </c>
      <c r="H139" s="119">
        <v>240</v>
      </c>
      <c r="I139" s="176" t="s">
        <v>64</v>
      </c>
      <c r="J139" s="199">
        <f>SUM(E129:E132)</f>
        <v>4478</v>
      </c>
    </row>
    <row r="140" spans="2:10" x14ac:dyDescent="0.25">
      <c r="B140" s="114" t="s">
        <v>21</v>
      </c>
      <c r="C140" s="119">
        <v>565</v>
      </c>
      <c r="D140" s="116">
        <v>668</v>
      </c>
      <c r="E140" s="70">
        <f t="shared" si="18"/>
        <v>1233</v>
      </c>
      <c r="F140" s="148"/>
      <c r="G140" s="172" t="s">
        <v>169</v>
      </c>
      <c r="H140" s="119">
        <v>249</v>
      </c>
    </row>
    <row r="141" spans="2:10" x14ac:dyDescent="0.25">
      <c r="B141" s="114" t="s">
        <v>22</v>
      </c>
      <c r="C141" s="119">
        <v>443</v>
      </c>
      <c r="D141" s="116">
        <v>560</v>
      </c>
      <c r="E141" s="70">
        <f t="shared" si="18"/>
        <v>1003</v>
      </c>
      <c r="F141" s="148"/>
      <c r="G141" s="172" t="s">
        <v>57</v>
      </c>
      <c r="H141" s="119">
        <v>260</v>
      </c>
    </row>
    <row r="142" spans="2:10" x14ac:dyDescent="0.25">
      <c r="B142" s="114" t="s">
        <v>23</v>
      </c>
      <c r="C142" s="119">
        <v>357</v>
      </c>
      <c r="D142" s="116">
        <v>440</v>
      </c>
      <c r="E142" s="70">
        <f t="shared" si="18"/>
        <v>797</v>
      </c>
      <c r="F142" s="148"/>
      <c r="G142" s="172" t="s">
        <v>168</v>
      </c>
      <c r="H142" s="119">
        <v>262</v>
      </c>
    </row>
    <row r="143" spans="2:10" x14ac:dyDescent="0.25">
      <c r="B143" s="114" t="s">
        <v>24</v>
      </c>
      <c r="C143" s="119">
        <v>265</v>
      </c>
      <c r="D143" s="116">
        <v>424</v>
      </c>
      <c r="E143" s="70">
        <f t="shared" si="18"/>
        <v>689</v>
      </c>
      <c r="F143" s="148"/>
      <c r="G143" s="172" t="s">
        <v>170</v>
      </c>
      <c r="H143" s="119">
        <v>253</v>
      </c>
    </row>
    <row r="144" spans="2:10" x14ac:dyDescent="0.25">
      <c r="B144" s="114" t="s">
        <v>25</v>
      </c>
      <c r="C144" s="119">
        <v>180</v>
      </c>
      <c r="D144" s="116">
        <v>291</v>
      </c>
      <c r="E144" s="70">
        <f t="shared" si="18"/>
        <v>471</v>
      </c>
      <c r="F144" s="148"/>
      <c r="G144" s="172" t="s">
        <v>171</v>
      </c>
      <c r="H144" s="119">
        <v>285</v>
      </c>
    </row>
    <row r="145" spans="2:10" x14ac:dyDescent="0.25">
      <c r="B145" s="114" t="s">
        <v>26</v>
      </c>
      <c r="C145" s="119">
        <v>237</v>
      </c>
      <c r="D145" s="116">
        <v>452</v>
      </c>
      <c r="E145" s="70">
        <f t="shared" si="18"/>
        <v>689</v>
      </c>
      <c r="F145" s="148"/>
      <c r="G145" s="172" t="s">
        <v>58</v>
      </c>
      <c r="H145" s="119">
        <v>265</v>
      </c>
    </row>
    <row r="146" spans="2:10" ht="15.75" thickBot="1" x14ac:dyDescent="0.3">
      <c r="B146" s="114" t="s">
        <v>98</v>
      </c>
      <c r="C146" s="51"/>
      <c r="D146" s="57"/>
      <c r="E146" s="70">
        <f t="shared" si="18"/>
        <v>0</v>
      </c>
      <c r="F146" s="204">
        <v>4</v>
      </c>
      <c r="G146" s="176" t="s">
        <v>63</v>
      </c>
      <c r="H146" s="122">
        <v>223</v>
      </c>
      <c r="I146" s="139"/>
    </row>
    <row r="147" spans="2:10" ht="15.75" thickBot="1" x14ac:dyDescent="0.3">
      <c r="B147" s="123" t="s">
        <v>14</v>
      </c>
      <c r="C147" s="73">
        <f>SUM(C129:C146)</f>
        <v>8352</v>
      </c>
      <c r="D147" s="73">
        <f>SUM(D129:D146)</f>
        <v>10286</v>
      </c>
      <c r="E147" s="73">
        <f>SUM(E129:E146)</f>
        <v>18638</v>
      </c>
      <c r="F147" s="148"/>
      <c r="G147" s="148"/>
      <c r="H147" s="148"/>
      <c r="I147" s="148"/>
      <c r="J147" s="47"/>
    </row>
    <row r="148" spans="2:10" x14ac:dyDescent="0.25">
      <c r="B148" s="148"/>
      <c r="C148" s="148"/>
      <c r="D148" s="148"/>
      <c r="E148" s="148"/>
      <c r="F148" s="148"/>
      <c r="I148" s="47"/>
      <c r="J148" s="47"/>
    </row>
    <row r="149" spans="2:10" x14ac:dyDescent="0.25">
      <c r="B149" s="148"/>
      <c r="C149" s="148"/>
      <c r="D149" s="148"/>
      <c r="E149" s="148"/>
      <c r="F149" s="148"/>
      <c r="G149" s="148"/>
      <c r="H149" s="153"/>
      <c r="I149" s="47"/>
      <c r="J149" s="47"/>
    </row>
    <row r="150" spans="2:10" ht="19.5" customHeight="1" thickBot="1" x14ac:dyDescent="0.3">
      <c r="B150" s="47" t="s">
        <v>106</v>
      </c>
      <c r="E150" s="200"/>
      <c r="F150" s="148"/>
      <c r="G150" s="47"/>
      <c r="H150" s="47"/>
      <c r="I150" s="47"/>
      <c r="J150" s="47"/>
    </row>
    <row r="151" spans="2:10" ht="26.25" customHeight="1" thickBot="1" x14ac:dyDescent="0.3">
      <c r="B151" s="271" t="s">
        <v>45</v>
      </c>
      <c r="C151" s="273" t="s">
        <v>78</v>
      </c>
      <c r="D151" s="274"/>
      <c r="E151" s="275"/>
      <c r="F151" s="148"/>
      <c r="G151" s="271" t="s">
        <v>45</v>
      </c>
      <c r="H151" s="273" t="s">
        <v>78</v>
      </c>
      <c r="I151" s="274"/>
      <c r="J151" s="275"/>
    </row>
    <row r="152" spans="2:10" ht="15.75" thickBot="1" x14ac:dyDescent="0.3">
      <c r="B152" s="272"/>
      <c r="C152" s="145" t="s">
        <v>2</v>
      </c>
      <c r="D152" s="146" t="s">
        <v>3</v>
      </c>
      <c r="E152" s="147" t="s">
        <v>4</v>
      </c>
      <c r="F152" s="148"/>
      <c r="G152" s="272"/>
      <c r="H152" s="145" t="s">
        <v>2</v>
      </c>
      <c r="I152" s="146" t="s">
        <v>3</v>
      </c>
      <c r="J152" s="147" t="s">
        <v>4</v>
      </c>
    </row>
    <row r="153" spans="2:10" x14ac:dyDescent="0.25">
      <c r="B153" s="114" t="s">
        <v>5</v>
      </c>
      <c r="C153" s="115">
        <v>425</v>
      </c>
      <c r="D153" s="116">
        <v>410</v>
      </c>
      <c r="E153" s="69">
        <f>SUM(C153:D153)</f>
        <v>835</v>
      </c>
      <c r="F153" s="148"/>
      <c r="G153" s="117" t="s">
        <v>6</v>
      </c>
      <c r="H153" s="57">
        <f>SUM(C153:C154)</f>
        <v>1547</v>
      </c>
      <c r="I153" s="69">
        <f>SUM(D153:D154)</f>
        <v>1484</v>
      </c>
      <c r="J153" s="69">
        <f t="shared" ref="J153:J156" si="22">SUM(H153:I153)</f>
        <v>3031</v>
      </c>
    </row>
    <row r="154" spans="2:10" x14ac:dyDescent="0.25">
      <c r="B154" s="118" t="s">
        <v>7</v>
      </c>
      <c r="C154" s="119">
        <v>1122</v>
      </c>
      <c r="D154" s="116">
        <v>1074</v>
      </c>
      <c r="E154" s="70">
        <f t="shared" ref="E154:E170" si="23">SUM(C154:D154)</f>
        <v>2196</v>
      </c>
      <c r="F154" s="148"/>
      <c r="G154" s="120" t="s">
        <v>8</v>
      </c>
      <c r="H154" s="57">
        <f>SUM(C155:C156)</f>
        <v>2095</v>
      </c>
      <c r="I154" s="70">
        <f>SUM(D155:D156)</f>
        <v>2070</v>
      </c>
      <c r="J154" s="70">
        <f t="shared" si="22"/>
        <v>4165</v>
      </c>
    </row>
    <row r="155" spans="2:10" x14ac:dyDescent="0.25">
      <c r="B155" s="114" t="s">
        <v>59</v>
      </c>
      <c r="C155" s="119">
        <v>1080</v>
      </c>
      <c r="D155" s="116">
        <v>1027</v>
      </c>
      <c r="E155" s="70">
        <f t="shared" si="23"/>
        <v>2107</v>
      </c>
      <c r="F155" s="148"/>
      <c r="G155" s="120" t="s">
        <v>10</v>
      </c>
      <c r="H155" s="57">
        <f>SUM(C157:C165)</f>
        <v>6536</v>
      </c>
      <c r="I155" s="70">
        <f>SUM(D157:D165)</f>
        <v>7966</v>
      </c>
      <c r="J155" s="70">
        <f t="shared" si="22"/>
        <v>14502</v>
      </c>
    </row>
    <row r="156" spans="2:10" ht="15.75" thickBot="1" x14ac:dyDescent="0.3">
      <c r="B156" s="114" t="s">
        <v>11</v>
      </c>
      <c r="C156" s="119">
        <v>1015</v>
      </c>
      <c r="D156" s="116">
        <v>1043</v>
      </c>
      <c r="E156" s="70">
        <f t="shared" si="23"/>
        <v>2058</v>
      </c>
      <c r="F156" s="148"/>
      <c r="G156" s="120" t="s">
        <v>12</v>
      </c>
      <c r="H156" s="57">
        <f>SUM(C166:C169)</f>
        <v>755</v>
      </c>
      <c r="I156" s="70">
        <f>SUM(D166:D169)</f>
        <v>1047</v>
      </c>
      <c r="J156" s="70">
        <f t="shared" si="22"/>
        <v>1802</v>
      </c>
    </row>
    <row r="157" spans="2:10" ht="15.75" thickBot="1" x14ac:dyDescent="0.3">
      <c r="B157" s="114" t="s">
        <v>13</v>
      </c>
      <c r="C157" s="119">
        <v>987</v>
      </c>
      <c r="D157" s="116">
        <v>1035</v>
      </c>
      <c r="E157" s="70">
        <f t="shared" si="23"/>
        <v>2022</v>
      </c>
      <c r="F157" s="148"/>
      <c r="G157" s="121" t="s">
        <v>14</v>
      </c>
      <c r="H157" s="72">
        <f>SUM(H153:H156)</f>
        <v>10933</v>
      </c>
      <c r="I157" s="72">
        <f t="shared" ref="I157" si="24">SUM(I153:I156)</f>
        <v>12567</v>
      </c>
      <c r="J157" s="72">
        <f t="shared" ref="J157" si="25">SUM(J153:J156)</f>
        <v>23500</v>
      </c>
    </row>
    <row r="158" spans="2:10" ht="15.75" thickBot="1" x14ac:dyDescent="0.3">
      <c r="B158" s="114" t="s">
        <v>15</v>
      </c>
      <c r="C158" s="119">
        <v>822</v>
      </c>
      <c r="D158" s="116">
        <v>1045</v>
      </c>
      <c r="E158" s="70">
        <f t="shared" si="23"/>
        <v>1867</v>
      </c>
      <c r="F158" s="148"/>
    </row>
    <row r="159" spans="2:10" x14ac:dyDescent="0.25">
      <c r="B159" s="114" t="s">
        <v>16</v>
      </c>
      <c r="C159" s="119">
        <v>753</v>
      </c>
      <c r="D159" s="116">
        <v>991</v>
      </c>
      <c r="E159" s="70">
        <f t="shared" si="23"/>
        <v>1744</v>
      </c>
      <c r="F159" s="148"/>
      <c r="G159" s="171" t="s">
        <v>150</v>
      </c>
      <c r="H159" s="115">
        <v>8</v>
      </c>
      <c r="I159" s="262" t="s">
        <v>60</v>
      </c>
      <c r="J159" s="69">
        <f>SUM(C157:C161)</f>
        <v>4095</v>
      </c>
    </row>
    <row r="160" spans="2:10" ht="15.75" thickBot="1" x14ac:dyDescent="0.3">
      <c r="B160" s="114" t="s">
        <v>17</v>
      </c>
      <c r="C160" s="119">
        <v>771</v>
      </c>
      <c r="D160" s="116">
        <v>1032</v>
      </c>
      <c r="E160" s="70">
        <f t="shared" si="23"/>
        <v>1803</v>
      </c>
      <c r="F160" s="148"/>
      <c r="G160" s="172" t="s">
        <v>151</v>
      </c>
      <c r="H160" s="119">
        <v>13</v>
      </c>
      <c r="I160" s="263" t="s">
        <v>61</v>
      </c>
      <c r="J160" s="51">
        <f>SUM(D162:D165)</f>
        <v>2882</v>
      </c>
    </row>
    <row r="161" spans="2:10" ht="15.75" thickBot="1" x14ac:dyDescent="0.3">
      <c r="B161" s="114" t="s">
        <v>18</v>
      </c>
      <c r="C161" s="119">
        <v>762</v>
      </c>
      <c r="D161" s="116">
        <v>981</v>
      </c>
      <c r="E161" s="70">
        <f t="shared" si="23"/>
        <v>1743</v>
      </c>
      <c r="F161" s="148"/>
      <c r="G161" s="172" t="s">
        <v>152</v>
      </c>
      <c r="H161" s="119">
        <v>115</v>
      </c>
      <c r="I161" s="104"/>
      <c r="J161" s="94"/>
    </row>
    <row r="162" spans="2:10" x14ac:dyDescent="0.25">
      <c r="B162" s="114" t="s">
        <v>19</v>
      </c>
      <c r="C162" s="119">
        <v>744</v>
      </c>
      <c r="D162" s="116">
        <v>925</v>
      </c>
      <c r="E162" s="70">
        <f t="shared" si="23"/>
        <v>1669</v>
      </c>
      <c r="F162" s="148"/>
      <c r="G162" s="172" t="s">
        <v>89</v>
      </c>
      <c r="H162" s="119">
        <v>286</v>
      </c>
      <c r="I162" s="171" t="s">
        <v>153</v>
      </c>
      <c r="J162" s="198">
        <f>+H166+H167+H168+E155+E156</f>
        <v>5495</v>
      </c>
    </row>
    <row r="163" spans="2:10" ht="15.75" thickBot="1" x14ac:dyDescent="0.3">
      <c r="B163" s="114" t="s">
        <v>20</v>
      </c>
      <c r="C163" s="119">
        <v>746</v>
      </c>
      <c r="D163" s="116">
        <v>849</v>
      </c>
      <c r="E163" s="70">
        <f t="shared" si="23"/>
        <v>1595</v>
      </c>
      <c r="F163" s="148"/>
      <c r="G163" s="172" t="s">
        <v>90</v>
      </c>
      <c r="H163" s="119">
        <v>413</v>
      </c>
      <c r="I163" s="176" t="s">
        <v>64</v>
      </c>
      <c r="J163" s="199">
        <f>SUM(E153:E156)</f>
        <v>7196</v>
      </c>
    </row>
    <row r="164" spans="2:10" x14ac:dyDescent="0.25">
      <c r="B164" s="114" t="s">
        <v>21</v>
      </c>
      <c r="C164" s="119">
        <v>587</v>
      </c>
      <c r="D164" s="116">
        <v>625</v>
      </c>
      <c r="E164" s="70">
        <f t="shared" si="23"/>
        <v>1212</v>
      </c>
      <c r="F164" s="148"/>
      <c r="G164" s="172" t="s">
        <v>169</v>
      </c>
      <c r="H164" s="119">
        <v>424</v>
      </c>
    </row>
    <row r="165" spans="2:10" x14ac:dyDescent="0.25">
      <c r="B165" s="114" t="s">
        <v>22</v>
      </c>
      <c r="C165" s="119">
        <v>364</v>
      </c>
      <c r="D165" s="116">
        <v>483</v>
      </c>
      <c r="E165" s="70">
        <f t="shared" si="23"/>
        <v>847</v>
      </c>
      <c r="F165" s="148"/>
      <c r="G165" s="172" t="s">
        <v>57</v>
      </c>
      <c r="H165" s="119">
        <v>442</v>
      </c>
    </row>
    <row r="166" spans="2:10" x14ac:dyDescent="0.25">
      <c r="B166" s="114" t="s">
        <v>23</v>
      </c>
      <c r="C166" s="119">
        <v>310</v>
      </c>
      <c r="D166" s="116">
        <v>342</v>
      </c>
      <c r="E166" s="70">
        <f t="shared" si="23"/>
        <v>652</v>
      </c>
      <c r="F166" s="148"/>
      <c r="G166" s="172" t="s">
        <v>168</v>
      </c>
      <c r="H166" s="119">
        <v>455</v>
      </c>
    </row>
    <row r="167" spans="2:10" x14ac:dyDescent="0.25">
      <c r="B167" s="114" t="s">
        <v>24</v>
      </c>
      <c r="C167" s="119">
        <v>192</v>
      </c>
      <c r="D167" s="116">
        <v>295</v>
      </c>
      <c r="E167" s="70">
        <f t="shared" si="23"/>
        <v>487</v>
      </c>
      <c r="F167" s="148"/>
      <c r="G167" s="172" t="s">
        <v>170</v>
      </c>
      <c r="H167" s="119">
        <v>456</v>
      </c>
    </row>
    <row r="168" spans="2:10" x14ac:dyDescent="0.25">
      <c r="B168" s="114" t="s">
        <v>25</v>
      </c>
      <c r="C168" s="119">
        <v>133</v>
      </c>
      <c r="D168" s="116">
        <v>177</v>
      </c>
      <c r="E168" s="70">
        <f t="shared" si="23"/>
        <v>310</v>
      </c>
      <c r="F168" s="148"/>
      <c r="G168" s="172" t="s">
        <v>171</v>
      </c>
      <c r="H168" s="119">
        <v>419</v>
      </c>
    </row>
    <row r="169" spans="2:10" x14ac:dyDescent="0.25">
      <c r="B169" s="114" t="s">
        <v>26</v>
      </c>
      <c r="C169" s="119">
        <v>120</v>
      </c>
      <c r="D169" s="116">
        <v>233</v>
      </c>
      <c r="E169" s="70">
        <f t="shared" si="23"/>
        <v>353</v>
      </c>
      <c r="F169" s="148"/>
      <c r="G169" s="172" t="s">
        <v>58</v>
      </c>
      <c r="H169" s="119">
        <v>433</v>
      </c>
    </row>
    <row r="170" spans="2:10" ht="15.75" thickBot="1" x14ac:dyDescent="0.3">
      <c r="B170" s="114" t="s">
        <v>98</v>
      </c>
      <c r="C170" s="51"/>
      <c r="D170" s="57"/>
      <c r="E170" s="70">
        <f t="shared" si="23"/>
        <v>0</v>
      </c>
      <c r="F170" s="148"/>
      <c r="G170" s="176" t="s">
        <v>63</v>
      </c>
      <c r="H170" s="122">
        <v>192</v>
      </c>
      <c r="I170" s="139"/>
    </row>
    <row r="171" spans="2:10" ht="15.75" thickBot="1" x14ac:dyDescent="0.3">
      <c r="B171" s="123" t="s">
        <v>14</v>
      </c>
      <c r="C171" s="73">
        <f>SUM(C153:C170)</f>
        <v>10933</v>
      </c>
      <c r="D171" s="73">
        <f>SUM(D153:D170)</f>
        <v>12567</v>
      </c>
      <c r="E171" s="73">
        <f>SUM(E153:E170)</f>
        <v>23500</v>
      </c>
      <c r="F171" s="148"/>
      <c r="G171" s="148"/>
      <c r="H171" s="148"/>
      <c r="I171" s="148"/>
      <c r="J171" s="47"/>
    </row>
    <row r="172" spans="2:10" x14ac:dyDescent="0.25">
      <c r="B172" s="148"/>
      <c r="C172" s="148"/>
      <c r="D172" s="148"/>
      <c r="E172" s="148"/>
      <c r="F172" s="148"/>
      <c r="I172" s="47"/>
      <c r="J172" s="47"/>
    </row>
    <row r="173" spans="2:10" x14ac:dyDescent="0.25">
      <c r="B173" s="148"/>
      <c r="C173" s="148"/>
      <c r="D173" s="148"/>
      <c r="E173" s="148"/>
      <c r="F173" s="148"/>
      <c r="G173" s="148"/>
      <c r="H173" s="153"/>
      <c r="I173" s="47"/>
      <c r="J173" s="47"/>
    </row>
    <row r="174" spans="2:10" ht="21.75" customHeight="1" thickBot="1" x14ac:dyDescent="0.3">
      <c r="B174" s="47" t="s">
        <v>107</v>
      </c>
      <c r="E174" s="200"/>
      <c r="F174" s="148"/>
      <c r="G174" s="47"/>
      <c r="H174" s="47"/>
      <c r="I174" s="47"/>
      <c r="J174" s="47"/>
    </row>
    <row r="175" spans="2:10" ht="26.25" customHeight="1" thickBot="1" x14ac:dyDescent="0.3">
      <c r="B175" s="271" t="s">
        <v>45</v>
      </c>
      <c r="C175" s="273" t="s">
        <v>79</v>
      </c>
      <c r="D175" s="274"/>
      <c r="E175" s="275"/>
      <c r="F175" s="148"/>
      <c r="G175" s="271" t="s">
        <v>45</v>
      </c>
      <c r="H175" s="273" t="s">
        <v>79</v>
      </c>
      <c r="I175" s="274"/>
      <c r="J175" s="275"/>
    </row>
    <row r="176" spans="2:10" ht="15.75" thickBot="1" x14ac:dyDescent="0.3">
      <c r="B176" s="272"/>
      <c r="C176" s="145" t="s">
        <v>2</v>
      </c>
      <c r="D176" s="146" t="s">
        <v>3</v>
      </c>
      <c r="E176" s="147" t="s">
        <v>4</v>
      </c>
      <c r="F176" s="148"/>
      <c r="G176" s="272"/>
      <c r="H176" s="145" t="s">
        <v>2</v>
      </c>
      <c r="I176" s="146" t="s">
        <v>3</v>
      </c>
      <c r="J176" s="147" t="s">
        <v>4</v>
      </c>
    </row>
    <row r="177" spans="2:10" x14ac:dyDescent="0.25">
      <c r="B177" s="114" t="s">
        <v>5</v>
      </c>
      <c r="C177" s="115">
        <v>3</v>
      </c>
      <c r="D177" s="116">
        <v>4</v>
      </c>
      <c r="E177" s="69">
        <f t="shared" ref="E177:E194" si="26">SUM(C177:D177)</f>
        <v>7</v>
      </c>
      <c r="F177" s="148"/>
      <c r="G177" s="117" t="s">
        <v>6</v>
      </c>
      <c r="H177" s="57">
        <f>SUM(C177:C178)</f>
        <v>22</v>
      </c>
      <c r="I177" s="69">
        <f>SUM(D177:D178)</f>
        <v>16</v>
      </c>
      <c r="J177" s="69">
        <f t="shared" ref="J177:J180" si="27">SUM(H177:I177)</f>
        <v>38</v>
      </c>
    </row>
    <row r="178" spans="2:10" x14ac:dyDescent="0.25">
      <c r="B178" s="118" t="s">
        <v>7</v>
      </c>
      <c r="C178" s="119">
        <v>19</v>
      </c>
      <c r="D178" s="116">
        <v>12</v>
      </c>
      <c r="E178" s="70">
        <f t="shared" si="26"/>
        <v>31</v>
      </c>
      <c r="F178" s="148"/>
      <c r="G178" s="120" t="s">
        <v>8</v>
      </c>
      <c r="H178" s="57">
        <f>SUM(C179:C180)</f>
        <v>77</v>
      </c>
      <c r="I178" s="70">
        <f>SUM(D179:D180)</f>
        <v>58</v>
      </c>
      <c r="J178" s="70">
        <f t="shared" si="27"/>
        <v>135</v>
      </c>
    </row>
    <row r="179" spans="2:10" x14ac:dyDescent="0.25">
      <c r="B179" s="114" t="s">
        <v>59</v>
      </c>
      <c r="C179" s="119">
        <v>41</v>
      </c>
      <c r="D179" s="116">
        <v>24</v>
      </c>
      <c r="E179" s="70">
        <f t="shared" si="26"/>
        <v>65</v>
      </c>
      <c r="F179" s="148"/>
      <c r="G179" s="120" t="s">
        <v>10</v>
      </c>
      <c r="H179" s="57">
        <f>SUM(C181:C189)</f>
        <v>364</v>
      </c>
      <c r="I179" s="70">
        <f>SUM(D181:D189)</f>
        <v>329</v>
      </c>
      <c r="J179" s="70">
        <f t="shared" si="27"/>
        <v>693</v>
      </c>
    </row>
    <row r="180" spans="2:10" ht="15.75" thickBot="1" x14ac:dyDescent="0.3">
      <c r="B180" s="114" t="s">
        <v>11</v>
      </c>
      <c r="C180" s="119">
        <v>36</v>
      </c>
      <c r="D180" s="116">
        <v>34</v>
      </c>
      <c r="E180" s="70">
        <f t="shared" si="26"/>
        <v>70</v>
      </c>
      <c r="F180" s="148"/>
      <c r="G180" s="120" t="s">
        <v>12</v>
      </c>
      <c r="H180" s="57">
        <f>SUM(C190:C193)</f>
        <v>80</v>
      </c>
      <c r="I180" s="70">
        <f>SUM(D190:D193)</f>
        <v>92</v>
      </c>
      <c r="J180" s="70">
        <f t="shared" si="27"/>
        <v>172</v>
      </c>
    </row>
    <row r="181" spans="2:10" ht="15.75" thickBot="1" x14ac:dyDescent="0.3">
      <c r="B181" s="114" t="s">
        <v>13</v>
      </c>
      <c r="C181" s="119">
        <v>48</v>
      </c>
      <c r="D181" s="116">
        <v>44</v>
      </c>
      <c r="E181" s="70">
        <f t="shared" si="26"/>
        <v>92</v>
      </c>
      <c r="F181" s="148"/>
      <c r="G181" s="121" t="s">
        <v>14</v>
      </c>
      <c r="H181" s="72">
        <f>SUM(H177:H180)</f>
        <v>543</v>
      </c>
      <c r="I181" s="72">
        <f t="shared" ref="I181" si="28">SUM(I177:I180)</f>
        <v>495</v>
      </c>
      <c r="J181" s="72">
        <f t="shared" ref="J181" si="29">SUM(J177:J180)</f>
        <v>1038</v>
      </c>
    </row>
    <row r="182" spans="2:10" ht="15.75" thickBot="1" x14ac:dyDescent="0.3">
      <c r="B182" s="114" t="s">
        <v>15</v>
      </c>
      <c r="C182" s="119">
        <v>40</v>
      </c>
      <c r="D182" s="116">
        <v>36</v>
      </c>
      <c r="E182" s="70">
        <f t="shared" si="26"/>
        <v>76</v>
      </c>
      <c r="F182" s="148"/>
    </row>
    <row r="183" spans="2:10" x14ac:dyDescent="0.25">
      <c r="B183" s="114" t="s">
        <v>16</v>
      </c>
      <c r="C183" s="119">
        <v>30</v>
      </c>
      <c r="D183" s="116">
        <v>31</v>
      </c>
      <c r="E183" s="70">
        <f t="shared" si="26"/>
        <v>61</v>
      </c>
      <c r="F183" s="148"/>
      <c r="G183" s="171" t="s">
        <v>150</v>
      </c>
      <c r="H183" s="115">
        <v>0</v>
      </c>
      <c r="I183" s="262" t="s">
        <v>60</v>
      </c>
      <c r="J183" s="69">
        <f>SUM(C181:C185)</f>
        <v>191</v>
      </c>
    </row>
    <row r="184" spans="2:10" ht="15.75" thickBot="1" x14ac:dyDescent="0.3">
      <c r="B184" s="114" t="s">
        <v>17</v>
      </c>
      <c r="C184" s="119">
        <v>30</v>
      </c>
      <c r="D184" s="116">
        <v>27</v>
      </c>
      <c r="E184" s="70">
        <f t="shared" si="26"/>
        <v>57</v>
      </c>
      <c r="F184" s="148"/>
      <c r="G184" s="172" t="s">
        <v>151</v>
      </c>
      <c r="H184" s="119">
        <v>1</v>
      </c>
      <c r="I184" s="263" t="s">
        <v>61</v>
      </c>
      <c r="J184" s="51">
        <f>SUM(D186:D189)</f>
        <v>160</v>
      </c>
    </row>
    <row r="185" spans="2:10" ht="15.75" thickBot="1" x14ac:dyDescent="0.3">
      <c r="B185" s="114" t="s">
        <v>18</v>
      </c>
      <c r="C185" s="119">
        <v>43</v>
      </c>
      <c r="D185" s="116">
        <v>31</v>
      </c>
      <c r="E185" s="70">
        <f t="shared" si="26"/>
        <v>74</v>
      </c>
      <c r="F185" s="148"/>
      <c r="G185" s="172" t="s">
        <v>152</v>
      </c>
      <c r="H185" s="119">
        <v>0</v>
      </c>
      <c r="I185" s="104"/>
      <c r="J185" s="94"/>
    </row>
    <row r="186" spans="2:10" x14ac:dyDescent="0.25">
      <c r="B186" s="114" t="s">
        <v>19</v>
      </c>
      <c r="C186" s="119">
        <v>37</v>
      </c>
      <c r="D186" s="116">
        <v>39</v>
      </c>
      <c r="E186" s="70">
        <f t="shared" si="26"/>
        <v>76</v>
      </c>
      <c r="F186" s="148"/>
      <c r="G186" s="172" t="s">
        <v>89</v>
      </c>
      <c r="H186" s="119">
        <v>2</v>
      </c>
      <c r="I186" s="171" t="s">
        <v>153</v>
      </c>
      <c r="J186" s="198">
        <f>+H190+H191+H192+E179+E180</f>
        <v>155</v>
      </c>
    </row>
    <row r="187" spans="2:10" ht="15.75" thickBot="1" x14ac:dyDescent="0.3">
      <c r="B187" s="114" t="s">
        <v>20</v>
      </c>
      <c r="C187" s="119">
        <v>56</v>
      </c>
      <c r="D187" s="116">
        <v>46</v>
      </c>
      <c r="E187" s="70">
        <f t="shared" si="26"/>
        <v>102</v>
      </c>
      <c r="F187" s="148"/>
      <c r="G187" s="172" t="s">
        <v>90</v>
      </c>
      <c r="H187" s="119">
        <v>4</v>
      </c>
      <c r="I187" s="176" t="s">
        <v>64</v>
      </c>
      <c r="J187" s="199">
        <f>SUM(E177:E180)</f>
        <v>173</v>
      </c>
    </row>
    <row r="188" spans="2:10" x14ac:dyDescent="0.25">
      <c r="B188" s="114" t="s">
        <v>21</v>
      </c>
      <c r="C188" s="119">
        <v>44</v>
      </c>
      <c r="D188" s="116">
        <v>44</v>
      </c>
      <c r="E188" s="70">
        <f t="shared" si="26"/>
        <v>88</v>
      </c>
      <c r="F188" s="148"/>
      <c r="G188" s="172" t="s">
        <v>169</v>
      </c>
      <c r="H188" s="119">
        <v>5</v>
      </c>
    </row>
    <row r="189" spans="2:10" x14ac:dyDescent="0.25">
      <c r="B189" s="114" t="s">
        <v>22</v>
      </c>
      <c r="C189" s="119">
        <v>36</v>
      </c>
      <c r="D189" s="116">
        <v>31</v>
      </c>
      <c r="E189" s="70">
        <f t="shared" si="26"/>
        <v>67</v>
      </c>
      <c r="F189" s="148"/>
      <c r="G189" s="172" t="s">
        <v>57</v>
      </c>
      <c r="H189" s="119">
        <v>6</v>
      </c>
    </row>
    <row r="190" spans="2:10" x14ac:dyDescent="0.25">
      <c r="B190" s="114" t="s">
        <v>23</v>
      </c>
      <c r="C190" s="119">
        <v>24</v>
      </c>
      <c r="D190" s="116">
        <v>27</v>
      </c>
      <c r="E190" s="70">
        <f t="shared" si="26"/>
        <v>51</v>
      </c>
      <c r="F190" s="148"/>
      <c r="G190" s="172" t="s">
        <v>168</v>
      </c>
      <c r="H190" s="119">
        <v>8</v>
      </c>
    </row>
    <row r="191" spans="2:10" x14ac:dyDescent="0.25">
      <c r="B191" s="114" t="s">
        <v>24</v>
      </c>
      <c r="C191" s="119">
        <v>18</v>
      </c>
      <c r="D191" s="116">
        <v>25</v>
      </c>
      <c r="E191" s="70">
        <f t="shared" si="26"/>
        <v>43</v>
      </c>
      <c r="F191" s="148"/>
      <c r="G191" s="172" t="s">
        <v>170</v>
      </c>
      <c r="H191" s="119">
        <v>6</v>
      </c>
    </row>
    <row r="192" spans="2:10" x14ac:dyDescent="0.25">
      <c r="B192" s="114" t="s">
        <v>25</v>
      </c>
      <c r="C192" s="119">
        <v>21</v>
      </c>
      <c r="D192" s="116">
        <v>20</v>
      </c>
      <c r="E192" s="70">
        <f t="shared" si="26"/>
        <v>41</v>
      </c>
      <c r="F192" s="148"/>
      <c r="G192" s="172" t="s">
        <v>171</v>
      </c>
      <c r="H192" s="119">
        <v>6</v>
      </c>
    </row>
    <row r="193" spans="2:10" x14ac:dyDescent="0.25">
      <c r="B193" s="114" t="s">
        <v>26</v>
      </c>
      <c r="C193" s="119">
        <v>17</v>
      </c>
      <c r="D193" s="116">
        <v>20</v>
      </c>
      <c r="E193" s="70">
        <f t="shared" si="26"/>
        <v>37</v>
      </c>
      <c r="F193" s="148"/>
      <c r="G193" s="172" t="s">
        <v>58</v>
      </c>
      <c r="H193" s="119">
        <v>16</v>
      </c>
    </row>
    <row r="194" spans="2:10" ht="15.75" thickBot="1" x14ac:dyDescent="0.3">
      <c r="B194" s="114" t="s">
        <v>98</v>
      </c>
      <c r="C194" s="51"/>
      <c r="D194" s="57"/>
      <c r="E194" s="70">
        <f t="shared" si="26"/>
        <v>0</v>
      </c>
      <c r="F194" s="148"/>
      <c r="G194" s="176" t="s">
        <v>63</v>
      </c>
      <c r="H194" s="122">
        <v>11</v>
      </c>
      <c r="I194" s="139"/>
    </row>
    <row r="195" spans="2:10" ht="15.75" thickBot="1" x14ac:dyDescent="0.3">
      <c r="B195" s="123" t="s">
        <v>14</v>
      </c>
      <c r="C195" s="73">
        <f>SUM(C177:C194)</f>
        <v>543</v>
      </c>
      <c r="D195" s="73">
        <f>SUM(D177:D194)</f>
        <v>495</v>
      </c>
      <c r="E195" s="73">
        <f>SUM(E177:E194)</f>
        <v>1038</v>
      </c>
      <c r="F195" s="148"/>
      <c r="G195" s="148"/>
      <c r="H195" s="148"/>
      <c r="I195" s="148"/>
      <c r="J195" s="47"/>
    </row>
    <row r="196" spans="2:10" x14ac:dyDescent="0.25">
      <c r="B196" s="148"/>
      <c r="C196" s="148"/>
      <c r="D196" s="148"/>
      <c r="E196" s="148"/>
      <c r="F196" s="148"/>
      <c r="I196" s="47"/>
      <c r="J196" s="47"/>
    </row>
    <row r="197" spans="2:10" x14ac:dyDescent="0.25">
      <c r="B197" s="148"/>
      <c r="C197" s="148"/>
      <c r="D197" s="148"/>
      <c r="E197" s="148"/>
      <c r="F197" s="148"/>
      <c r="G197" s="148"/>
      <c r="H197" s="153"/>
      <c r="I197" s="47"/>
      <c r="J197" s="47"/>
    </row>
    <row r="198" spans="2:10" ht="21" customHeight="1" thickBot="1" x14ac:dyDescent="0.3">
      <c r="B198" s="47" t="s">
        <v>108</v>
      </c>
      <c r="E198" s="200"/>
      <c r="F198" s="148"/>
      <c r="G198" s="47"/>
      <c r="H198" s="47"/>
      <c r="I198" s="47"/>
      <c r="J198" s="47"/>
    </row>
    <row r="199" spans="2:10" ht="25.5" customHeight="1" thickBot="1" x14ac:dyDescent="0.3">
      <c r="B199" s="271" t="s">
        <v>45</v>
      </c>
      <c r="C199" s="273" t="s">
        <v>80</v>
      </c>
      <c r="D199" s="274"/>
      <c r="E199" s="275"/>
      <c r="F199" s="148"/>
      <c r="G199" s="271" t="s">
        <v>45</v>
      </c>
      <c r="H199" s="273" t="s">
        <v>80</v>
      </c>
      <c r="I199" s="274"/>
      <c r="J199" s="275"/>
    </row>
    <row r="200" spans="2:10" ht="15.75" thickBot="1" x14ac:dyDescent="0.3">
      <c r="B200" s="272"/>
      <c r="C200" s="145" t="s">
        <v>2</v>
      </c>
      <c r="D200" s="146" t="s">
        <v>3</v>
      </c>
      <c r="E200" s="147" t="s">
        <v>4</v>
      </c>
      <c r="F200" s="148"/>
      <c r="G200" s="272"/>
      <c r="H200" s="145" t="s">
        <v>2</v>
      </c>
      <c r="I200" s="146" t="s">
        <v>3</v>
      </c>
      <c r="J200" s="242" t="s">
        <v>4</v>
      </c>
    </row>
    <row r="201" spans="2:10" x14ac:dyDescent="0.25">
      <c r="B201" s="114" t="s">
        <v>5</v>
      </c>
      <c r="C201" s="115">
        <v>8</v>
      </c>
      <c r="D201" s="116">
        <v>7</v>
      </c>
      <c r="E201" s="69">
        <f t="shared" ref="E201:E218" si="30">SUM(C201:D201)</f>
        <v>15</v>
      </c>
      <c r="F201" s="148"/>
      <c r="G201" s="117" t="s">
        <v>6</v>
      </c>
      <c r="H201" s="57">
        <f>SUM(C201:C202)</f>
        <v>21</v>
      </c>
      <c r="I201" s="69">
        <f>SUM(D201:D202)</f>
        <v>27</v>
      </c>
      <c r="J201" s="69">
        <f t="shared" ref="J201:J204" si="31">SUM(H201:I201)</f>
        <v>48</v>
      </c>
    </row>
    <row r="202" spans="2:10" x14ac:dyDescent="0.25">
      <c r="B202" s="118" t="s">
        <v>7</v>
      </c>
      <c r="C202" s="119">
        <v>13</v>
      </c>
      <c r="D202" s="116">
        <v>20</v>
      </c>
      <c r="E202" s="70">
        <f t="shared" si="30"/>
        <v>33</v>
      </c>
      <c r="F202" s="148"/>
      <c r="G202" s="120" t="s">
        <v>8</v>
      </c>
      <c r="H202" s="57">
        <f>SUM(C203:C204)</f>
        <v>29</v>
      </c>
      <c r="I202" s="70">
        <f>SUM(D203:D204)</f>
        <v>36</v>
      </c>
      <c r="J202" s="70">
        <f t="shared" si="31"/>
        <v>65</v>
      </c>
    </row>
    <row r="203" spans="2:10" x14ac:dyDescent="0.25">
      <c r="B203" s="114" t="s">
        <v>59</v>
      </c>
      <c r="C203" s="119">
        <v>14</v>
      </c>
      <c r="D203" s="116">
        <v>21</v>
      </c>
      <c r="E203" s="70">
        <f t="shared" si="30"/>
        <v>35</v>
      </c>
      <c r="F203" s="148"/>
      <c r="G203" s="120" t="s">
        <v>10</v>
      </c>
      <c r="H203" s="57">
        <f>SUM(C205:C213)</f>
        <v>130</v>
      </c>
      <c r="I203" s="70">
        <f>SUM(D205:D213)</f>
        <v>139</v>
      </c>
      <c r="J203" s="70">
        <f t="shared" si="31"/>
        <v>269</v>
      </c>
    </row>
    <row r="204" spans="2:10" ht="15.75" thickBot="1" x14ac:dyDescent="0.3">
      <c r="B204" s="114" t="s">
        <v>11</v>
      </c>
      <c r="C204" s="119">
        <v>15</v>
      </c>
      <c r="D204" s="116">
        <v>15</v>
      </c>
      <c r="E204" s="70">
        <f t="shared" si="30"/>
        <v>30</v>
      </c>
      <c r="F204" s="148"/>
      <c r="G204" s="120" t="s">
        <v>12</v>
      </c>
      <c r="H204" s="57">
        <f>SUM(C214:C217)</f>
        <v>33</v>
      </c>
      <c r="I204" s="70">
        <f>SUM(D214:D217)</f>
        <v>37</v>
      </c>
      <c r="J204" s="70">
        <f t="shared" si="31"/>
        <v>70</v>
      </c>
    </row>
    <row r="205" spans="2:10" ht="15.75" thickBot="1" x14ac:dyDescent="0.3">
      <c r="B205" s="114" t="s">
        <v>13</v>
      </c>
      <c r="C205" s="119">
        <v>20</v>
      </c>
      <c r="D205" s="116">
        <v>13</v>
      </c>
      <c r="E205" s="70">
        <f t="shared" si="30"/>
        <v>33</v>
      </c>
      <c r="F205" s="148"/>
      <c r="G205" s="121" t="s">
        <v>14</v>
      </c>
      <c r="H205" s="72">
        <f>SUM(H201:H204)</f>
        <v>213</v>
      </c>
      <c r="I205" s="72">
        <f t="shared" ref="I205" si="32">SUM(I201:I204)</f>
        <v>239</v>
      </c>
      <c r="J205" s="73">
        <f t="shared" ref="J205" si="33">SUM(J201:J204)</f>
        <v>452</v>
      </c>
    </row>
    <row r="206" spans="2:10" ht="15.75" thickBot="1" x14ac:dyDescent="0.3">
      <c r="B206" s="114" t="s">
        <v>15</v>
      </c>
      <c r="C206" s="119">
        <v>4</v>
      </c>
      <c r="D206" s="116">
        <v>23</v>
      </c>
      <c r="E206" s="70">
        <f t="shared" si="30"/>
        <v>27</v>
      </c>
      <c r="F206" s="148"/>
    </row>
    <row r="207" spans="2:10" x14ac:dyDescent="0.25">
      <c r="B207" s="114" t="s">
        <v>16</v>
      </c>
      <c r="C207" s="119">
        <v>10</v>
      </c>
      <c r="D207" s="116">
        <v>12</v>
      </c>
      <c r="E207" s="70">
        <f t="shared" si="30"/>
        <v>22</v>
      </c>
      <c r="F207" s="148"/>
      <c r="G207" s="171" t="s">
        <v>150</v>
      </c>
      <c r="H207" s="115">
        <v>3</v>
      </c>
      <c r="I207" s="262" t="s">
        <v>60</v>
      </c>
      <c r="J207" s="69">
        <f>SUM(C205:C209)</f>
        <v>60</v>
      </c>
    </row>
    <row r="208" spans="2:10" ht="15.75" thickBot="1" x14ac:dyDescent="0.3">
      <c r="B208" s="114" t="s">
        <v>17</v>
      </c>
      <c r="C208" s="119">
        <v>15</v>
      </c>
      <c r="D208" s="116">
        <v>18</v>
      </c>
      <c r="E208" s="70">
        <f t="shared" si="30"/>
        <v>33</v>
      </c>
      <c r="F208" s="148"/>
      <c r="G208" s="172" t="s">
        <v>151</v>
      </c>
      <c r="H208" s="119">
        <v>0</v>
      </c>
      <c r="I208" s="263" t="s">
        <v>61</v>
      </c>
      <c r="J208" s="51">
        <f>SUM(D210:D213)</f>
        <v>64</v>
      </c>
    </row>
    <row r="209" spans="2:10" ht="15.75" thickBot="1" x14ac:dyDescent="0.3">
      <c r="B209" s="114" t="s">
        <v>18</v>
      </c>
      <c r="C209" s="119">
        <v>11</v>
      </c>
      <c r="D209" s="116">
        <v>9</v>
      </c>
      <c r="E209" s="70">
        <f t="shared" si="30"/>
        <v>20</v>
      </c>
      <c r="F209" s="148"/>
      <c r="G209" s="172" t="s">
        <v>152</v>
      </c>
      <c r="H209" s="119">
        <v>4</v>
      </c>
      <c r="I209" s="104"/>
      <c r="J209" s="94"/>
    </row>
    <row r="210" spans="2:10" x14ac:dyDescent="0.25">
      <c r="B210" s="114" t="s">
        <v>19</v>
      </c>
      <c r="C210" s="119">
        <v>10</v>
      </c>
      <c r="D210" s="116">
        <v>15</v>
      </c>
      <c r="E210" s="70">
        <f t="shared" si="30"/>
        <v>25</v>
      </c>
      <c r="F210" s="148"/>
      <c r="G210" s="172" t="s">
        <v>89</v>
      </c>
      <c r="H210" s="119">
        <v>3</v>
      </c>
      <c r="I210" s="171" t="s">
        <v>153</v>
      </c>
      <c r="J210" s="198">
        <f>+H215+H216+H217+E203+E204</f>
        <v>84</v>
      </c>
    </row>
    <row r="211" spans="2:10" ht="15.75" thickBot="1" x14ac:dyDescent="0.3">
      <c r="B211" s="114" t="s">
        <v>20</v>
      </c>
      <c r="C211" s="119">
        <v>24</v>
      </c>
      <c r="D211" s="116">
        <v>19</v>
      </c>
      <c r="E211" s="70">
        <f t="shared" si="30"/>
        <v>43</v>
      </c>
      <c r="F211" s="148"/>
      <c r="G211" s="172" t="s">
        <v>90</v>
      </c>
      <c r="H211" s="119">
        <v>5</v>
      </c>
      <c r="I211" s="176" t="s">
        <v>64</v>
      </c>
      <c r="J211" s="199">
        <f>SUM(E201:E204)</f>
        <v>113</v>
      </c>
    </row>
    <row r="212" spans="2:10" x14ac:dyDescent="0.25">
      <c r="B212" s="114" t="s">
        <v>21</v>
      </c>
      <c r="C212" s="119">
        <v>20</v>
      </c>
      <c r="D212" s="116">
        <v>15</v>
      </c>
      <c r="E212" s="70">
        <f t="shared" si="30"/>
        <v>35</v>
      </c>
      <c r="F212" s="148"/>
      <c r="G212" s="172" t="s">
        <v>169</v>
      </c>
      <c r="H212" s="119">
        <v>8</v>
      </c>
    </row>
    <row r="213" spans="2:10" x14ac:dyDescent="0.25">
      <c r="B213" s="114" t="s">
        <v>22</v>
      </c>
      <c r="C213" s="119">
        <v>16</v>
      </c>
      <c r="D213" s="116">
        <v>15</v>
      </c>
      <c r="E213" s="70">
        <f t="shared" si="30"/>
        <v>31</v>
      </c>
      <c r="F213" s="148"/>
      <c r="G213" s="172" t="s">
        <v>57</v>
      </c>
      <c r="H213" s="119">
        <v>4</v>
      </c>
    </row>
    <row r="214" spans="2:10" x14ac:dyDescent="0.25">
      <c r="B214" s="114" t="s">
        <v>23</v>
      </c>
      <c r="C214" s="119">
        <v>13</v>
      </c>
      <c r="D214" s="116">
        <v>11</v>
      </c>
      <c r="E214" s="70">
        <f t="shared" si="30"/>
        <v>24</v>
      </c>
      <c r="F214" s="148"/>
      <c r="G214" s="172" t="s">
        <v>168</v>
      </c>
      <c r="H214" s="119">
        <v>9</v>
      </c>
    </row>
    <row r="215" spans="2:10" x14ac:dyDescent="0.25">
      <c r="B215" s="114" t="s">
        <v>24</v>
      </c>
      <c r="C215" s="119">
        <v>9</v>
      </c>
      <c r="D215" s="116">
        <v>8</v>
      </c>
      <c r="E215" s="70">
        <f t="shared" si="30"/>
        <v>17</v>
      </c>
      <c r="F215" s="148"/>
      <c r="G215" s="172" t="s">
        <v>170</v>
      </c>
      <c r="H215" s="119">
        <v>8</v>
      </c>
    </row>
    <row r="216" spans="2:10" x14ac:dyDescent="0.25">
      <c r="B216" s="114" t="s">
        <v>25</v>
      </c>
      <c r="C216" s="119">
        <v>4</v>
      </c>
      <c r="D216" s="116">
        <v>7</v>
      </c>
      <c r="E216" s="70">
        <f t="shared" si="30"/>
        <v>11</v>
      </c>
      <c r="F216" s="148"/>
      <c r="G216" s="172" t="s">
        <v>171</v>
      </c>
      <c r="H216" s="119">
        <v>4</v>
      </c>
    </row>
    <row r="217" spans="2:10" x14ac:dyDescent="0.25">
      <c r="B217" s="114" t="s">
        <v>26</v>
      </c>
      <c r="C217" s="119">
        <v>7</v>
      </c>
      <c r="D217" s="116">
        <v>11</v>
      </c>
      <c r="E217" s="70">
        <f t="shared" si="30"/>
        <v>18</v>
      </c>
      <c r="F217" s="148"/>
      <c r="G217" s="172" t="s">
        <v>58</v>
      </c>
      <c r="H217" s="119">
        <v>7</v>
      </c>
    </row>
    <row r="218" spans="2:10" ht="15.75" thickBot="1" x14ac:dyDescent="0.3">
      <c r="B218" s="114" t="s">
        <v>98</v>
      </c>
      <c r="C218" s="51"/>
      <c r="D218" s="57"/>
      <c r="E218" s="70">
        <f t="shared" si="30"/>
        <v>0</v>
      </c>
      <c r="F218" s="148"/>
      <c r="G218" s="176" t="s">
        <v>63</v>
      </c>
      <c r="H218" s="122">
        <v>10</v>
      </c>
      <c r="I218" s="139"/>
    </row>
    <row r="219" spans="2:10" ht="15.75" thickBot="1" x14ac:dyDescent="0.3">
      <c r="B219" s="123" t="s">
        <v>14</v>
      </c>
      <c r="C219" s="73">
        <f>SUM(C201:C218)</f>
        <v>213</v>
      </c>
      <c r="D219" s="73">
        <f>SUM(D201:D218)</f>
        <v>239</v>
      </c>
      <c r="E219" s="73">
        <f>SUM(E201:E218)</f>
        <v>452</v>
      </c>
      <c r="F219" s="148"/>
      <c r="G219" s="148"/>
      <c r="H219" s="148"/>
      <c r="I219" s="148"/>
      <c r="J219" s="47"/>
    </row>
    <row r="220" spans="2:10" ht="15.75" customHeight="1" x14ac:dyDescent="0.25">
      <c r="E220" s="200"/>
      <c r="F220" s="148"/>
      <c r="I220" s="47"/>
      <c r="J220" s="47"/>
    </row>
    <row r="221" spans="2:10" x14ac:dyDescent="0.25">
      <c r="F221" s="148"/>
      <c r="G221" s="47"/>
      <c r="H221" s="47"/>
      <c r="I221" s="47"/>
      <c r="J221" s="47"/>
    </row>
    <row r="222" spans="2:10" x14ac:dyDescent="0.25">
      <c r="F222" s="148"/>
      <c r="G222" s="47"/>
      <c r="H222" s="47"/>
      <c r="I222" s="47"/>
      <c r="J222" s="47"/>
    </row>
    <row r="223" spans="2:10" x14ac:dyDescent="0.25">
      <c r="F223" s="148"/>
      <c r="G223" s="47"/>
      <c r="H223" s="47"/>
      <c r="I223" s="47"/>
      <c r="J223" s="47"/>
    </row>
    <row r="224" spans="2:10" x14ac:dyDescent="0.25">
      <c r="F224" s="148"/>
      <c r="G224" s="47"/>
      <c r="H224" s="47"/>
      <c r="I224" s="47"/>
      <c r="J224" s="47"/>
    </row>
    <row r="225" spans="7:10" x14ac:dyDescent="0.25">
      <c r="G225" s="47"/>
      <c r="H225" s="47"/>
      <c r="I225" s="47"/>
      <c r="J225" s="47"/>
    </row>
    <row r="226" spans="7:10" x14ac:dyDescent="0.25">
      <c r="G226" s="47"/>
      <c r="H226" s="47"/>
      <c r="I226" s="47"/>
      <c r="J226" s="47"/>
    </row>
  </sheetData>
  <mergeCells count="40">
    <mergeCell ref="B29:J29"/>
    <mergeCell ref="B1:J1"/>
    <mergeCell ref="B7:B8"/>
    <mergeCell ref="C7:E7"/>
    <mergeCell ref="G7:G8"/>
    <mergeCell ref="H7:J7"/>
    <mergeCell ref="B2:J2"/>
    <mergeCell ref="G4:J5"/>
    <mergeCell ref="B31:B32"/>
    <mergeCell ref="C31:E31"/>
    <mergeCell ref="G31:G32"/>
    <mergeCell ref="H31:J31"/>
    <mergeCell ref="B55:B56"/>
    <mergeCell ref="C55:E55"/>
    <mergeCell ref="G55:G56"/>
    <mergeCell ref="H55:J55"/>
    <mergeCell ref="B79:B80"/>
    <mergeCell ref="C79:E79"/>
    <mergeCell ref="G79:G80"/>
    <mergeCell ref="H79:J79"/>
    <mergeCell ref="G175:G176"/>
    <mergeCell ref="H175:J175"/>
    <mergeCell ref="B127:B128"/>
    <mergeCell ref="C127:E127"/>
    <mergeCell ref="G127:G128"/>
    <mergeCell ref="H127:J127"/>
    <mergeCell ref="B103:B104"/>
    <mergeCell ref="C103:E103"/>
    <mergeCell ref="G103:G104"/>
    <mergeCell ref="H103:J103"/>
    <mergeCell ref="B199:B200"/>
    <mergeCell ref="C199:E199"/>
    <mergeCell ref="G199:G200"/>
    <mergeCell ref="H199:J199"/>
    <mergeCell ref="B151:B152"/>
    <mergeCell ref="C151:E151"/>
    <mergeCell ref="G151:G152"/>
    <mergeCell ref="H151:J151"/>
    <mergeCell ref="B175:B176"/>
    <mergeCell ref="C175:E175"/>
  </mergeCells>
  <printOptions horizontalCentered="1" verticalCentered="1"/>
  <pageMargins left="0.23622047244094491" right="0.23622047244094491" top="0.15748031496062992" bottom="0.39370078740157483" header="0.31496062992125984" footer="0.31496062992125984"/>
  <pageSetup scale="60" orientation="portrait" r:id="rId1"/>
  <headerFooter>
    <oddFooter>&amp;C&amp;"-,Cursiva"&amp;K01+048Depto. Estadísticas y Gestión de la Información - Servicio de Salud Osorno</oddFooter>
  </headerFooter>
  <rowBreaks count="2" manualBreakCount="2">
    <brk id="77" max="16383" man="1"/>
    <brk id="149" max="16383" man="1"/>
  </rowBreaks>
  <ignoredErrors>
    <ignoredError sqref="H34:I36 H58:I60 H82:I84 H106:I108 H130:I132 H154:I156 H178:I180 H202:I204 H129:I129 H153:I153 H177:I177 H201:I201 H105:I105 H81:I81 H57:I57 H33 J207:J208 J183:J184 J159:J160 J135:J136 J111:J112 J87:J88 J63" formulaRange="1"/>
    <ignoredError sqref="B10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192"/>
  <sheetViews>
    <sheetView zoomScaleNormal="100" zoomScaleSheetLayoutView="85" workbookViewId="0">
      <pane ySplit="5" topLeftCell="A6" activePane="bottomLeft" state="frozen"/>
      <selection activeCell="B2" sqref="B2:T2"/>
      <selection pane="bottomLeft" activeCell="I180" sqref="I180:I181"/>
    </sheetView>
  </sheetViews>
  <sheetFormatPr baseColWidth="10" defaultRowHeight="15" x14ac:dyDescent="0.25"/>
  <cols>
    <col min="1" max="1" width="1.42578125" style="86" customWidth="1"/>
    <col min="2" max="2" width="16.5703125" style="86" customWidth="1"/>
    <col min="3" max="5" width="11.42578125" style="86"/>
    <col min="6" max="6" width="7.85546875" style="86" customWidth="1"/>
    <col min="7" max="7" width="17.42578125" style="86" bestFit="1" customWidth="1"/>
    <col min="8" max="8" width="12.7109375" style="86" customWidth="1"/>
    <col min="9" max="9" width="16.28515625" style="86" customWidth="1"/>
    <col min="10" max="10" width="12.7109375" style="86" customWidth="1"/>
    <col min="11" max="11" width="16.5703125" style="86" customWidth="1"/>
    <col min="12" max="16384" width="11.42578125" style="86"/>
  </cols>
  <sheetData>
    <row r="1" spans="2:17" s="106" customFormat="1" ht="19.5" customHeight="1" x14ac:dyDescent="0.25">
      <c r="B1" s="277" t="str">
        <f>+OSORNO!B1</f>
        <v>POBLACIÓN INSCRITA VALIDADA POR FONASA AÑO 2020 SEGÚN SEXO Y EDAD</v>
      </c>
      <c r="C1" s="277"/>
      <c r="D1" s="277"/>
      <c r="E1" s="277"/>
      <c r="F1" s="277"/>
      <c r="G1" s="277"/>
      <c r="H1" s="277"/>
      <c r="I1" s="277"/>
      <c r="J1" s="277"/>
    </row>
    <row r="2" spans="2:17" s="106" customFormat="1" ht="19.5" customHeight="1" x14ac:dyDescent="0.25">
      <c r="B2" s="284" t="s">
        <v>94</v>
      </c>
      <c r="C2" s="284"/>
      <c r="D2" s="284"/>
      <c r="E2" s="284"/>
      <c r="F2" s="284"/>
      <c r="G2" s="284"/>
      <c r="H2" s="284"/>
      <c r="I2" s="284"/>
      <c r="J2" s="284"/>
    </row>
    <row r="4" spans="2:17" x14ac:dyDescent="0.25">
      <c r="B4" s="134" t="s">
        <v>66</v>
      </c>
      <c r="C4" s="135" t="s">
        <v>29</v>
      </c>
      <c r="E4" s="27"/>
      <c r="G4" s="291" t="s">
        <v>155</v>
      </c>
      <c r="H4" s="291"/>
      <c r="I4" s="291"/>
      <c r="J4" s="291"/>
    </row>
    <row r="5" spans="2:17" x14ac:dyDescent="0.25">
      <c r="B5" s="134" t="s">
        <v>44</v>
      </c>
      <c r="C5" s="137">
        <v>10302</v>
      </c>
      <c r="G5" s="291"/>
      <c r="H5" s="291"/>
      <c r="I5" s="291"/>
      <c r="J5" s="291"/>
    </row>
    <row r="6" spans="2:17" ht="15.75" thickBot="1" x14ac:dyDescent="0.3">
      <c r="B6" s="47" t="s">
        <v>110</v>
      </c>
      <c r="F6" s="87"/>
    </row>
    <row r="7" spans="2:17" ht="31.5" customHeight="1" thickBot="1" x14ac:dyDescent="0.3">
      <c r="B7" s="278" t="s">
        <v>45</v>
      </c>
      <c r="C7" s="280" t="s">
        <v>71</v>
      </c>
      <c r="D7" s="281"/>
      <c r="E7" s="282"/>
      <c r="F7" s="138"/>
      <c r="G7" s="278" t="s">
        <v>45</v>
      </c>
      <c r="H7" s="280" t="s">
        <v>71</v>
      </c>
      <c r="I7" s="281"/>
      <c r="J7" s="282"/>
    </row>
    <row r="8" spans="2:17" ht="20.25" customHeight="1" thickBot="1" x14ac:dyDescent="0.3">
      <c r="B8" s="279"/>
      <c r="C8" s="82" t="s">
        <v>2</v>
      </c>
      <c r="D8" s="83" t="s">
        <v>3</v>
      </c>
      <c r="E8" s="84" t="s">
        <v>4</v>
      </c>
      <c r="F8" s="139"/>
      <c r="G8" s="283"/>
      <c r="H8" s="82" t="s">
        <v>2</v>
      </c>
      <c r="I8" s="83" t="s">
        <v>3</v>
      </c>
      <c r="J8" s="84" t="s">
        <v>4</v>
      </c>
    </row>
    <row r="9" spans="2:17" x14ac:dyDescent="0.25">
      <c r="B9" s="107" t="s">
        <v>5</v>
      </c>
      <c r="C9" s="63">
        <f t="shared" ref="C9:D26" si="0">+C59+C82+C105+C128+C151+C174</f>
        <v>82</v>
      </c>
      <c r="D9" s="63">
        <f t="shared" si="0"/>
        <v>75</v>
      </c>
      <c r="E9" s="64">
        <f t="shared" ref="E9:E26" si="1">SUM(C9:D9)</f>
        <v>157</v>
      </c>
      <c r="F9" s="140"/>
      <c r="G9" s="108" t="s">
        <v>6</v>
      </c>
      <c r="H9" s="76">
        <f>SUM(C9:C10)</f>
        <v>206</v>
      </c>
      <c r="I9" s="69">
        <f>SUM(D9:D10)</f>
        <v>226</v>
      </c>
      <c r="J9" s="69">
        <f t="shared" ref="J9:J12" si="2">SUM(H9:I9)</f>
        <v>432</v>
      </c>
    </row>
    <row r="10" spans="2:17" x14ac:dyDescent="0.25">
      <c r="B10" s="109" t="s">
        <v>7</v>
      </c>
      <c r="C10" s="65">
        <f t="shared" si="0"/>
        <v>124</v>
      </c>
      <c r="D10" s="65">
        <f t="shared" si="0"/>
        <v>151</v>
      </c>
      <c r="E10" s="66">
        <f t="shared" si="1"/>
        <v>275</v>
      </c>
      <c r="F10" s="139"/>
      <c r="G10" s="110" t="s">
        <v>8</v>
      </c>
      <c r="H10" s="71">
        <f>SUM(C11:C12)</f>
        <v>464</v>
      </c>
      <c r="I10" s="70">
        <f>SUM(D11:D12)</f>
        <v>389</v>
      </c>
      <c r="J10" s="70">
        <f t="shared" si="2"/>
        <v>853</v>
      </c>
    </row>
    <row r="11" spans="2:17" x14ac:dyDescent="0.25">
      <c r="B11" s="107" t="s">
        <v>59</v>
      </c>
      <c r="C11" s="65">
        <f t="shared" si="0"/>
        <v>209</v>
      </c>
      <c r="D11" s="65">
        <f t="shared" si="0"/>
        <v>189</v>
      </c>
      <c r="E11" s="66">
        <f t="shared" si="1"/>
        <v>398</v>
      </c>
      <c r="F11" s="139"/>
      <c r="G11" s="110" t="s">
        <v>10</v>
      </c>
      <c r="H11" s="71">
        <f>SUM(C13:C21)</f>
        <v>1546</v>
      </c>
      <c r="I11" s="70">
        <f>SUM(D13:D21)</f>
        <v>1362</v>
      </c>
      <c r="J11" s="70">
        <f t="shared" si="2"/>
        <v>2908</v>
      </c>
    </row>
    <row r="12" spans="2:17" ht="15.75" thickBot="1" x14ac:dyDescent="0.3">
      <c r="B12" s="107" t="s">
        <v>11</v>
      </c>
      <c r="C12" s="65">
        <f t="shared" si="0"/>
        <v>255</v>
      </c>
      <c r="D12" s="65">
        <f t="shared" si="0"/>
        <v>200</v>
      </c>
      <c r="E12" s="66">
        <f t="shared" si="1"/>
        <v>455</v>
      </c>
      <c r="F12" s="139"/>
      <c r="G12" s="110" t="s">
        <v>12</v>
      </c>
      <c r="H12" s="71">
        <f>SUM(C22:C25)</f>
        <v>317</v>
      </c>
      <c r="I12" s="70">
        <f>SUM(D22:D25)</f>
        <v>311</v>
      </c>
      <c r="J12" s="70">
        <f t="shared" si="2"/>
        <v>628</v>
      </c>
    </row>
    <row r="13" spans="2:17" ht="15.75" thickBot="1" x14ac:dyDescent="0.3">
      <c r="B13" s="107" t="s">
        <v>13</v>
      </c>
      <c r="C13" s="65">
        <f t="shared" si="0"/>
        <v>222</v>
      </c>
      <c r="D13" s="65">
        <f t="shared" si="0"/>
        <v>182</v>
      </c>
      <c r="E13" s="66">
        <f t="shared" si="1"/>
        <v>404</v>
      </c>
      <c r="F13" s="139"/>
      <c r="G13" s="81" t="s">
        <v>14</v>
      </c>
      <c r="H13" s="78">
        <f>SUM(H9:H12)</f>
        <v>2533</v>
      </c>
      <c r="I13" s="78">
        <f t="shared" ref="I13:J13" si="3">SUM(I9:I12)</f>
        <v>2288</v>
      </c>
      <c r="J13" s="74">
        <f t="shared" si="3"/>
        <v>4821</v>
      </c>
    </row>
    <row r="14" spans="2:17" ht="15.75" thickBot="1" x14ac:dyDescent="0.3">
      <c r="B14" s="107" t="s">
        <v>15</v>
      </c>
      <c r="C14" s="65">
        <f t="shared" si="0"/>
        <v>186</v>
      </c>
      <c r="D14" s="65">
        <f t="shared" si="0"/>
        <v>140</v>
      </c>
      <c r="E14" s="66">
        <f t="shared" si="1"/>
        <v>326</v>
      </c>
      <c r="F14" s="139"/>
      <c r="G14" s="142"/>
      <c r="H14" s="142"/>
      <c r="I14" s="142"/>
      <c r="J14" s="142"/>
    </row>
    <row r="15" spans="2:17" x14ac:dyDescent="0.25">
      <c r="B15" s="107" t="s">
        <v>16</v>
      </c>
      <c r="C15" s="65">
        <f t="shared" si="0"/>
        <v>132</v>
      </c>
      <c r="D15" s="65">
        <f t="shared" si="0"/>
        <v>128</v>
      </c>
      <c r="E15" s="66">
        <f t="shared" si="1"/>
        <v>260</v>
      </c>
      <c r="F15" s="139"/>
      <c r="G15" s="269" t="s">
        <v>150</v>
      </c>
      <c r="H15" s="250">
        <f>+H65+H88+H111+H134+H157+H180</f>
        <v>28</v>
      </c>
      <c r="I15" s="267" t="s">
        <v>60</v>
      </c>
      <c r="J15" s="69">
        <f>SUM(C13:C17)</f>
        <v>843</v>
      </c>
      <c r="O15" s="87"/>
      <c r="P15" s="87"/>
      <c r="Q15" s="87"/>
    </row>
    <row r="16" spans="2:17" ht="15.75" thickBot="1" x14ac:dyDescent="0.3">
      <c r="B16" s="107" t="s">
        <v>17</v>
      </c>
      <c r="C16" s="65">
        <f t="shared" si="0"/>
        <v>146</v>
      </c>
      <c r="D16" s="65">
        <f t="shared" si="0"/>
        <v>168</v>
      </c>
      <c r="E16" s="66">
        <f t="shared" si="1"/>
        <v>314</v>
      </c>
      <c r="F16" s="139"/>
      <c r="G16" s="85" t="s">
        <v>151</v>
      </c>
      <c r="H16" s="251">
        <f t="shared" ref="H16:H26" si="4">+H66+H89+H112+H135+H158+H181</f>
        <v>14</v>
      </c>
      <c r="I16" s="268" t="s">
        <v>61</v>
      </c>
      <c r="J16" s="51">
        <f>SUM(D18:D21)</f>
        <v>597</v>
      </c>
      <c r="O16" s="87"/>
      <c r="P16" s="87"/>
      <c r="Q16" s="87"/>
    </row>
    <row r="17" spans="2:17" ht="15.75" thickBot="1" x14ac:dyDescent="0.3">
      <c r="B17" s="107" t="s">
        <v>18</v>
      </c>
      <c r="C17" s="65">
        <f t="shared" si="0"/>
        <v>157</v>
      </c>
      <c r="D17" s="65">
        <f t="shared" si="0"/>
        <v>147</v>
      </c>
      <c r="E17" s="66">
        <f t="shared" si="1"/>
        <v>304</v>
      </c>
      <c r="F17" s="139"/>
      <c r="G17" s="85" t="s">
        <v>152</v>
      </c>
      <c r="H17" s="251">
        <f t="shared" si="4"/>
        <v>27</v>
      </c>
      <c r="I17" s="47"/>
      <c r="J17" s="142"/>
      <c r="O17" s="87"/>
      <c r="P17" s="87"/>
      <c r="Q17" s="87"/>
    </row>
    <row r="18" spans="2:17" x14ac:dyDescent="0.25">
      <c r="B18" s="107" t="s">
        <v>19</v>
      </c>
      <c r="C18" s="65">
        <f t="shared" si="0"/>
        <v>174</v>
      </c>
      <c r="D18" s="65">
        <f t="shared" si="0"/>
        <v>142</v>
      </c>
      <c r="E18" s="66">
        <f t="shared" si="1"/>
        <v>316</v>
      </c>
      <c r="F18" s="139"/>
      <c r="G18" s="85" t="s">
        <v>89</v>
      </c>
      <c r="H18" s="251">
        <f t="shared" si="4"/>
        <v>42</v>
      </c>
      <c r="I18" s="267" t="s">
        <v>153</v>
      </c>
      <c r="J18" s="69">
        <f>+H22+H23+H24+E11+E12</f>
        <v>1020</v>
      </c>
      <c r="K18" s="159"/>
      <c r="O18" s="87"/>
      <c r="P18" s="183"/>
      <c r="Q18" s="100"/>
    </row>
    <row r="19" spans="2:17" ht="15.75" thickBot="1" x14ac:dyDescent="0.3">
      <c r="B19" s="107" t="s">
        <v>20</v>
      </c>
      <c r="C19" s="65">
        <f t="shared" si="0"/>
        <v>186</v>
      </c>
      <c r="D19" s="65">
        <f t="shared" si="0"/>
        <v>171</v>
      </c>
      <c r="E19" s="66">
        <f t="shared" si="1"/>
        <v>357</v>
      </c>
      <c r="F19" s="139"/>
      <c r="G19" s="85" t="s">
        <v>90</v>
      </c>
      <c r="H19" s="251">
        <f t="shared" si="4"/>
        <v>46</v>
      </c>
      <c r="I19" s="268" t="s">
        <v>64</v>
      </c>
      <c r="J19" s="51">
        <f>SUM(E9:E12)</f>
        <v>1285</v>
      </c>
      <c r="K19" s="184"/>
      <c r="O19" s="87"/>
      <c r="P19" s="183"/>
      <c r="Q19" s="100"/>
    </row>
    <row r="20" spans="2:17" x14ac:dyDescent="0.25">
      <c r="B20" s="107" t="s">
        <v>21</v>
      </c>
      <c r="C20" s="65">
        <f t="shared" si="0"/>
        <v>195</v>
      </c>
      <c r="D20" s="65">
        <f t="shared" si="0"/>
        <v>157</v>
      </c>
      <c r="E20" s="66">
        <f t="shared" si="1"/>
        <v>352</v>
      </c>
      <c r="F20" s="139"/>
      <c r="G20" s="85" t="s">
        <v>169</v>
      </c>
      <c r="H20" s="251">
        <f t="shared" si="4"/>
        <v>49</v>
      </c>
      <c r="I20" s="104"/>
      <c r="J20" s="94"/>
      <c r="O20" s="87"/>
      <c r="P20" s="87"/>
      <c r="Q20" s="87"/>
    </row>
    <row r="21" spans="2:17" x14ac:dyDescent="0.25">
      <c r="B21" s="107" t="s">
        <v>22</v>
      </c>
      <c r="C21" s="65">
        <f t="shared" si="0"/>
        <v>148</v>
      </c>
      <c r="D21" s="65">
        <f t="shared" si="0"/>
        <v>127</v>
      </c>
      <c r="E21" s="66">
        <f t="shared" si="1"/>
        <v>275</v>
      </c>
      <c r="F21" s="139"/>
      <c r="G21" s="85" t="s">
        <v>57</v>
      </c>
      <c r="H21" s="251">
        <f t="shared" si="4"/>
        <v>59</v>
      </c>
      <c r="I21" s="98"/>
      <c r="J21" s="197"/>
      <c r="O21" s="87"/>
      <c r="P21" s="87"/>
      <c r="Q21" s="87"/>
    </row>
    <row r="22" spans="2:17" x14ac:dyDescent="0.25">
      <c r="B22" s="107" t="s">
        <v>23</v>
      </c>
      <c r="C22" s="65">
        <f t="shared" si="0"/>
        <v>105</v>
      </c>
      <c r="D22" s="65">
        <f t="shared" si="0"/>
        <v>91</v>
      </c>
      <c r="E22" s="66">
        <f t="shared" si="1"/>
        <v>196</v>
      </c>
      <c r="F22" s="139"/>
      <c r="G22" s="85" t="s">
        <v>168</v>
      </c>
      <c r="H22" s="251">
        <f t="shared" si="4"/>
        <v>53</v>
      </c>
      <c r="I22" s="142"/>
      <c r="J22" s="111"/>
      <c r="O22" s="87"/>
      <c r="P22" s="87"/>
      <c r="Q22" s="87"/>
    </row>
    <row r="23" spans="2:17" x14ac:dyDescent="0.25">
      <c r="B23" s="107" t="s">
        <v>24</v>
      </c>
      <c r="C23" s="65">
        <f t="shared" si="0"/>
        <v>83</v>
      </c>
      <c r="D23" s="65">
        <f t="shared" si="0"/>
        <v>74</v>
      </c>
      <c r="E23" s="66">
        <f t="shared" si="1"/>
        <v>157</v>
      </c>
      <c r="F23" s="139"/>
      <c r="G23" s="85" t="s">
        <v>170</v>
      </c>
      <c r="H23" s="251">
        <f t="shared" si="4"/>
        <v>51</v>
      </c>
      <c r="I23" s="142"/>
      <c r="J23" s="142"/>
      <c r="O23" s="87"/>
      <c r="P23" s="87"/>
      <c r="Q23" s="87"/>
    </row>
    <row r="24" spans="2:17" x14ac:dyDescent="0.25">
      <c r="B24" s="107" t="s">
        <v>25</v>
      </c>
      <c r="C24" s="65">
        <f t="shared" si="0"/>
        <v>65</v>
      </c>
      <c r="D24" s="65">
        <f t="shared" si="0"/>
        <v>60</v>
      </c>
      <c r="E24" s="66">
        <f t="shared" si="1"/>
        <v>125</v>
      </c>
      <c r="F24" s="111"/>
      <c r="G24" s="85" t="s">
        <v>171</v>
      </c>
      <c r="H24" s="251">
        <f t="shared" si="4"/>
        <v>63</v>
      </c>
      <c r="I24" s="111"/>
      <c r="J24" s="111"/>
    </row>
    <row r="25" spans="2:17" x14ac:dyDescent="0.25">
      <c r="B25" s="107" t="s">
        <v>26</v>
      </c>
      <c r="C25" s="65">
        <f t="shared" si="0"/>
        <v>64</v>
      </c>
      <c r="D25" s="65">
        <f t="shared" si="0"/>
        <v>86</v>
      </c>
      <c r="E25" s="66">
        <f t="shared" si="1"/>
        <v>150</v>
      </c>
      <c r="F25" s="111"/>
      <c r="G25" s="85" t="s">
        <v>58</v>
      </c>
      <c r="H25" s="251">
        <f t="shared" si="4"/>
        <v>69</v>
      </c>
      <c r="I25" s="111"/>
      <c r="J25" s="111"/>
    </row>
    <row r="26" spans="2:17" ht="15.75" thickBot="1" x14ac:dyDescent="0.3">
      <c r="B26" s="107" t="s">
        <v>98</v>
      </c>
      <c r="C26" s="67">
        <f t="shared" si="0"/>
        <v>0</v>
      </c>
      <c r="D26" s="67">
        <f t="shared" si="0"/>
        <v>0</v>
      </c>
      <c r="E26" s="68">
        <f t="shared" si="1"/>
        <v>0</v>
      </c>
      <c r="F26" s="111"/>
      <c r="G26" s="144" t="s">
        <v>63</v>
      </c>
      <c r="H26" s="252">
        <f t="shared" si="4"/>
        <v>60</v>
      </c>
      <c r="I26" s="142"/>
      <c r="J26" s="142"/>
    </row>
    <row r="27" spans="2:17" ht="15.75" thickBot="1" x14ac:dyDescent="0.3">
      <c r="B27" s="112" t="s">
        <v>14</v>
      </c>
      <c r="C27" s="74">
        <f>SUM(C9:C26)</f>
        <v>2533</v>
      </c>
      <c r="D27" s="74">
        <f>SUM(D9:D26)</f>
        <v>2288</v>
      </c>
      <c r="E27" s="74">
        <f>SUM(E9:E26)</f>
        <v>4821</v>
      </c>
      <c r="F27" s="111"/>
      <c r="G27" s="111"/>
      <c r="H27" s="111"/>
      <c r="I27" s="167"/>
      <c r="J27" s="60"/>
    </row>
    <row r="28" spans="2:17" x14ac:dyDescent="0.25">
      <c r="B28" s="167"/>
      <c r="C28" s="167"/>
      <c r="D28" s="167"/>
      <c r="E28" s="167"/>
      <c r="F28" s="167"/>
      <c r="I28" s="167"/>
      <c r="J28" s="167"/>
    </row>
    <row r="29" spans="2:17" x14ac:dyDescent="0.25">
      <c r="B29" s="60" t="s">
        <v>132</v>
      </c>
      <c r="C29" s="167"/>
      <c r="D29" s="167"/>
      <c r="E29" s="167"/>
      <c r="F29" s="167"/>
      <c r="G29" s="167"/>
      <c r="H29" s="167"/>
      <c r="I29" s="167"/>
      <c r="J29" s="167"/>
    </row>
    <row r="30" spans="2:17" x14ac:dyDescent="0.25">
      <c r="B30" s="167"/>
      <c r="C30" s="167"/>
      <c r="D30" s="167"/>
      <c r="E30" s="167"/>
      <c r="F30" s="167"/>
      <c r="G30" s="167"/>
      <c r="H30" s="167"/>
      <c r="I30" s="167"/>
      <c r="J30" s="167"/>
    </row>
    <row r="31" spans="2:17" ht="18" customHeight="1" thickBot="1" x14ac:dyDescent="0.3">
      <c r="B31" s="47" t="s">
        <v>109</v>
      </c>
      <c r="E31" s="185"/>
      <c r="I31" s="186"/>
    </row>
    <row r="32" spans="2:17" ht="28.5" customHeight="1" thickBot="1" x14ac:dyDescent="0.3">
      <c r="B32" s="286" t="s">
        <v>1</v>
      </c>
      <c r="C32" s="288" t="s">
        <v>100</v>
      </c>
      <c r="D32" s="289"/>
      <c r="E32" s="290"/>
      <c r="F32" s="138"/>
      <c r="G32" s="286" t="s">
        <v>1</v>
      </c>
      <c r="H32" s="288" t="s">
        <v>100</v>
      </c>
      <c r="I32" s="289"/>
      <c r="J32" s="290"/>
    </row>
    <row r="33" spans="2:14" ht="15" customHeight="1" thickBot="1" x14ac:dyDescent="0.3">
      <c r="B33" s="292"/>
      <c r="C33" s="193" t="s">
        <v>2</v>
      </c>
      <c r="D33" s="194" t="s">
        <v>3</v>
      </c>
      <c r="E33" s="195" t="s">
        <v>4</v>
      </c>
      <c r="F33" s="139"/>
      <c r="G33" s="287"/>
      <c r="H33" s="193" t="s">
        <v>2</v>
      </c>
      <c r="I33" s="194" t="s">
        <v>3</v>
      </c>
      <c r="J33" s="195" t="s">
        <v>4</v>
      </c>
    </row>
    <row r="34" spans="2:14" x14ac:dyDescent="0.25">
      <c r="B34" s="187" t="s">
        <v>5</v>
      </c>
      <c r="C34" s="245">
        <v>24</v>
      </c>
      <c r="D34" s="248">
        <v>19</v>
      </c>
      <c r="E34" s="64">
        <f t="shared" ref="E34:E51" si="5">SUM(C34:D34)</f>
        <v>43</v>
      </c>
      <c r="F34" s="140"/>
      <c r="G34" s="188" t="s">
        <v>6</v>
      </c>
      <c r="H34" s="76">
        <f>SUM(C34:C35)</f>
        <v>124</v>
      </c>
      <c r="I34" s="69">
        <f>SUM(D34:D35)</f>
        <v>123</v>
      </c>
      <c r="J34" s="69">
        <f t="shared" ref="J34:J37" si="6">SUM(H34:I34)</f>
        <v>247</v>
      </c>
      <c r="M34" s="166"/>
      <c r="N34" s="166"/>
    </row>
    <row r="35" spans="2:14" x14ac:dyDescent="0.25">
      <c r="B35" s="189" t="s">
        <v>7</v>
      </c>
      <c r="C35" s="246">
        <v>100</v>
      </c>
      <c r="D35" s="249">
        <v>104</v>
      </c>
      <c r="E35" s="66">
        <f t="shared" si="5"/>
        <v>204</v>
      </c>
      <c r="F35" s="139"/>
      <c r="G35" s="190" t="s">
        <v>8</v>
      </c>
      <c r="H35" s="71">
        <f>SUM(C36:C37)</f>
        <v>254</v>
      </c>
      <c r="I35" s="70">
        <f>SUM(D36:D37)</f>
        <v>196</v>
      </c>
      <c r="J35" s="70">
        <f t="shared" si="6"/>
        <v>450</v>
      </c>
    </row>
    <row r="36" spans="2:14" x14ac:dyDescent="0.25">
      <c r="B36" s="187" t="s">
        <v>59</v>
      </c>
      <c r="C36" s="246">
        <v>119</v>
      </c>
      <c r="D36" s="249">
        <v>97</v>
      </c>
      <c r="E36" s="66">
        <f t="shared" si="5"/>
        <v>216</v>
      </c>
      <c r="F36" s="139"/>
      <c r="G36" s="190" t="s">
        <v>10</v>
      </c>
      <c r="H36" s="71">
        <f>SUM(C38:C46)</f>
        <v>1173</v>
      </c>
      <c r="I36" s="70">
        <f>SUM(D38:D46)</f>
        <v>1128</v>
      </c>
      <c r="J36" s="70">
        <f t="shared" si="6"/>
        <v>2301</v>
      </c>
      <c r="K36" s="170"/>
      <c r="L36" s="170"/>
      <c r="M36" s="170"/>
    </row>
    <row r="37" spans="2:14" x14ac:dyDescent="0.25">
      <c r="B37" s="187" t="s">
        <v>11</v>
      </c>
      <c r="C37" s="246">
        <v>135</v>
      </c>
      <c r="D37" s="249">
        <v>99</v>
      </c>
      <c r="E37" s="66">
        <f t="shared" si="5"/>
        <v>234</v>
      </c>
      <c r="F37" s="139"/>
      <c r="G37" s="190" t="s">
        <v>12</v>
      </c>
      <c r="H37" s="71">
        <f>SUM(C47:C50)</f>
        <v>224</v>
      </c>
      <c r="I37" s="70">
        <f>SUM(D47:D50)</f>
        <v>259</v>
      </c>
      <c r="J37" s="70">
        <f t="shared" si="6"/>
        <v>483</v>
      </c>
      <c r="K37" s="170"/>
      <c r="L37" s="170"/>
      <c r="M37" s="170"/>
    </row>
    <row r="38" spans="2:14" ht="15.75" thickBot="1" x14ac:dyDescent="0.3">
      <c r="B38" s="187" t="s">
        <v>13</v>
      </c>
      <c r="C38" s="246">
        <v>160</v>
      </c>
      <c r="D38" s="249">
        <v>135</v>
      </c>
      <c r="E38" s="66">
        <f t="shared" si="5"/>
        <v>295</v>
      </c>
      <c r="F38" s="139"/>
      <c r="G38" s="253" t="s">
        <v>14</v>
      </c>
      <c r="H38" s="77">
        <f>SUM(H34:H37)</f>
        <v>1775</v>
      </c>
      <c r="I38" s="51">
        <f t="shared" ref="I38" si="7">SUM(I34:I37)</f>
        <v>1706</v>
      </c>
      <c r="J38" s="51">
        <f t="shared" ref="J38" si="8">SUM(J34:J37)</f>
        <v>3481</v>
      </c>
      <c r="K38" s="170"/>
      <c r="L38" s="170"/>
      <c r="M38" s="170"/>
    </row>
    <row r="39" spans="2:14" ht="15.75" thickBot="1" x14ac:dyDescent="0.3">
      <c r="B39" s="187" t="s">
        <v>15</v>
      </c>
      <c r="C39" s="246">
        <v>158</v>
      </c>
      <c r="D39" s="249">
        <v>131</v>
      </c>
      <c r="E39" s="66">
        <f t="shared" si="5"/>
        <v>289</v>
      </c>
      <c r="F39" s="139"/>
      <c r="G39" s="142"/>
      <c r="H39" s="142"/>
      <c r="I39" s="142"/>
      <c r="J39" s="142"/>
      <c r="K39" s="170"/>
      <c r="L39" s="170"/>
      <c r="M39" s="170"/>
    </row>
    <row r="40" spans="2:14" x14ac:dyDescent="0.25">
      <c r="B40" s="187" t="s">
        <v>16</v>
      </c>
      <c r="C40" s="246">
        <v>108</v>
      </c>
      <c r="D40" s="249">
        <v>103</v>
      </c>
      <c r="E40" s="66">
        <f t="shared" si="5"/>
        <v>211</v>
      </c>
      <c r="F40" s="139"/>
      <c r="G40" s="264" t="s">
        <v>150</v>
      </c>
      <c r="H40" s="250">
        <v>0</v>
      </c>
      <c r="I40" s="264" t="s">
        <v>60</v>
      </c>
      <c r="J40" s="69">
        <f>SUM(C38:C42)</f>
        <v>613</v>
      </c>
      <c r="K40" s="170"/>
      <c r="L40" s="170"/>
      <c r="M40" s="170"/>
    </row>
    <row r="41" spans="2:14" ht="15.75" thickBot="1" x14ac:dyDescent="0.3">
      <c r="B41" s="187" t="s">
        <v>17</v>
      </c>
      <c r="C41" s="246">
        <v>84</v>
      </c>
      <c r="D41" s="249">
        <v>107</v>
      </c>
      <c r="E41" s="66">
        <f t="shared" si="5"/>
        <v>191</v>
      </c>
      <c r="F41" s="139"/>
      <c r="G41" s="266" t="s">
        <v>151</v>
      </c>
      <c r="H41" s="251">
        <v>0</v>
      </c>
      <c r="I41" s="265" t="s">
        <v>61</v>
      </c>
      <c r="J41" s="51">
        <f>SUM(D43:D46)</f>
        <v>545</v>
      </c>
      <c r="K41" s="191"/>
      <c r="L41" s="191"/>
      <c r="M41" s="191"/>
    </row>
    <row r="42" spans="2:14" ht="15.75" thickBot="1" x14ac:dyDescent="0.3">
      <c r="B42" s="187" t="s">
        <v>18</v>
      </c>
      <c r="C42" s="246">
        <v>103</v>
      </c>
      <c r="D42" s="249">
        <v>107</v>
      </c>
      <c r="E42" s="66">
        <f t="shared" si="5"/>
        <v>210</v>
      </c>
      <c r="F42" s="139"/>
      <c r="G42" s="266" t="s">
        <v>152</v>
      </c>
      <c r="H42" s="251">
        <v>1</v>
      </c>
      <c r="I42" s="104"/>
      <c r="J42" s="94"/>
      <c r="K42" s="170"/>
      <c r="L42" s="170"/>
      <c r="M42" s="170"/>
    </row>
    <row r="43" spans="2:14" x14ac:dyDescent="0.25">
      <c r="B43" s="187" t="s">
        <v>19</v>
      </c>
      <c r="C43" s="246">
        <v>137</v>
      </c>
      <c r="D43" s="249">
        <v>157</v>
      </c>
      <c r="E43" s="66">
        <f t="shared" si="5"/>
        <v>294</v>
      </c>
      <c r="F43" s="139"/>
      <c r="G43" s="266" t="s">
        <v>89</v>
      </c>
      <c r="H43" s="251">
        <v>3</v>
      </c>
      <c r="I43" s="264" t="s">
        <v>153</v>
      </c>
      <c r="J43" s="198">
        <f>+H47+H48+H49+E36+E37</f>
        <v>568</v>
      </c>
      <c r="K43" s="170"/>
      <c r="L43" s="170"/>
      <c r="M43" s="170"/>
    </row>
    <row r="44" spans="2:14" ht="15.75" thickBot="1" x14ac:dyDescent="0.3">
      <c r="B44" s="187" t="s">
        <v>20</v>
      </c>
      <c r="C44" s="246">
        <v>158</v>
      </c>
      <c r="D44" s="249">
        <v>137</v>
      </c>
      <c r="E44" s="66">
        <f t="shared" si="5"/>
        <v>295</v>
      </c>
      <c r="F44" s="139"/>
      <c r="G44" s="266" t="s">
        <v>90</v>
      </c>
      <c r="H44" s="251">
        <v>39</v>
      </c>
      <c r="I44" s="265" t="s">
        <v>64</v>
      </c>
      <c r="J44" s="199">
        <f>SUM(E34:E37)</f>
        <v>697</v>
      </c>
      <c r="K44" s="170"/>
      <c r="L44" s="170"/>
      <c r="M44" s="170"/>
    </row>
    <row r="45" spans="2:14" x14ac:dyDescent="0.25">
      <c r="B45" s="187" t="s">
        <v>21</v>
      </c>
      <c r="C45" s="246">
        <v>144</v>
      </c>
      <c r="D45" s="249">
        <v>140</v>
      </c>
      <c r="E45" s="66">
        <f t="shared" si="5"/>
        <v>284</v>
      </c>
      <c r="F45" s="139"/>
      <c r="G45" s="266" t="s">
        <v>169</v>
      </c>
      <c r="H45" s="251">
        <v>47</v>
      </c>
      <c r="I45" s="142"/>
      <c r="J45" s="142"/>
      <c r="K45" s="170"/>
      <c r="L45" s="170"/>
      <c r="M45" s="170"/>
    </row>
    <row r="46" spans="2:14" x14ac:dyDescent="0.25">
      <c r="B46" s="187" t="s">
        <v>22</v>
      </c>
      <c r="C46" s="246">
        <v>121</v>
      </c>
      <c r="D46" s="249">
        <v>111</v>
      </c>
      <c r="E46" s="66">
        <f t="shared" si="5"/>
        <v>232</v>
      </c>
      <c r="F46" s="139"/>
      <c r="G46" s="266" t="s">
        <v>57</v>
      </c>
      <c r="H46" s="251">
        <v>39</v>
      </c>
      <c r="I46" s="142"/>
      <c r="J46" s="142"/>
      <c r="K46" s="170"/>
      <c r="L46" s="170"/>
      <c r="M46" s="170"/>
    </row>
    <row r="47" spans="2:14" x14ac:dyDescent="0.25">
      <c r="B47" s="187" t="s">
        <v>23</v>
      </c>
      <c r="C47" s="246">
        <v>73</v>
      </c>
      <c r="D47" s="249">
        <v>85</v>
      </c>
      <c r="E47" s="66">
        <f t="shared" si="5"/>
        <v>158</v>
      </c>
      <c r="F47" s="139"/>
      <c r="G47" s="266" t="s">
        <v>168</v>
      </c>
      <c r="H47" s="251">
        <v>40</v>
      </c>
      <c r="I47" s="142"/>
      <c r="J47" s="142"/>
      <c r="K47" s="177"/>
      <c r="L47" s="177"/>
      <c r="M47" s="177"/>
    </row>
    <row r="48" spans="2:14" x14ac:dyDescent="0.25">
      <c r="B48" s="187" t="s">
        <v>24</v>
      </c>
      <c r="C48" s="246">
        <v>62</v>
      </c>
      <c r="D48" s="249">
        <v>63</v>
      </c>
      <c r="E48" s="66">
        <f t="shared" si="5"/>
        <v>125</v>
      </c>
      <c r="F48" s="139"/>
      <c r="G48" s="266" t="s">
        <v>170</v>
      </c>
      <c r="H48" s="251">
        <v>50</v>
      </c>
      <c r="I48" s="142"/>
      <c r="J48" s="142"/>
      <c r="K48" s="98"/>
    </row>
    <row r="49" spans="2:11" x14ac:dyDescent="0.25">
      <c r="B49" s="187" t="s">
        <v>25</v>
      </c>
      <c r="C49" s="246">
        <v>48</v>
      </c>
      <c r="D49" s="249">
        <v>46</v>
      </c>
      <c r="E49" s="66">
        <f t="shared" si="5"/>
        <v>94</v>
      </c>
      <c r="F49" s="111"/>
      <c r="G49" s="266" t="s">
        <v>171</v>
      </c>
      <c r="H49" s="251">
        <v>28</v>
      </c>
      <c r="I49" s="142"/>
      <c r="J49" s="142"/>
      <c r="K49" s="98"/>
    </row>
    <row r="50" spans="2:11" x14ac:dyDescent="0.25">
      <c r="B50" s="187" t="s">
        <v>26</v>
      </c>
      <c r="C50" s="246">
        <v>41</v>
      </c>
      <c r="D50" s="249">
        <v>65</v>
      </c>
      <c r="E50" s="66">
        <f t="shared" si="5"/>
        <v>106</v>
      </c>
      <c r="F50" s="111"/>
      <c r="G50" s="266" t="s">
        <v>58</v>
      </c>
      <c r="H50" s="251">
        <v>43</v>
      </c>
      <c r="I50" s="142"/>
      <c r="J50" s="142"/>
      <c r="K50" s="98"/>
    </row>
    <row r="51" spans="2:11" ht="15.75" thickBot="1" x14ac:dyDescent="0.3">
      <c r="B51" s="187" t="s">
        <v>98</v>
      </c>
      <c r="C51" s="247"/>
      <c r="D51" s="67"/>
      <c r="E51" s="68">
        <f t="shared" si="5"/>
        <v>0</v>
      </c>
      <c r="F51" s="111"/>
      <c r="G51" s="196" t="s">
        <v>63</v>
      </c>
      <c r="H51" s="252">
        <v>52</v>
      </c>
      <c r="I51" s="139"/>
      <c r="J51" s="142"/>
      <c r="K51" s="98"/>
    </row>
    <row r="52" spans="2:11" ht="15.75" thickBot="1" x14ac:dyDescent="0.3">
      <c r="B52" s="192" t="s">
        <v>14</v>
      </c>
      <c r="C52" s="75">
        <f>SUM(C34:C51)</f>
        <v>1775</v>
      </c>
      <c r="D52" s="75">
        <f>SUM(D34:D51)</f>
        <v>1706</v>
      </c>
      <c r="E52" s="75">
        <f>SUM(E34:E51)</f>
        <v>3481</v>
      </c>
      <c r="F52" s="111"/>
      <c r="G52" s="111"/>
      <c r="H52" s="111"/>
      <c r="I52" s="167"/>
      <c r="J52" s="167"/>
      <c r="K52" s="98"/>
    </row>
    <row r="53" spans="2:11" x14ac:dyDescent="0.25">
      <c r="B53" s="170"/>
      <c r="C53" s="170"/>
      <c r="D53" s="170"/>
      <c r="E53" s="170"/>
      <c r="F53" s="170"/>
      <c r="I53" s="98"/>
      <c r="J53" s="98"/>
      <c r="K53" s="98"/>
    </row>
    <row r="55" spans="2:11" x14ac:dyDescent="0.25">
      <c r="B55" s="169" t="s">
        <v>139</v>
      </c>
      <c r="C55" s="170"/>
      <c r="D55" s="170"/>
      <c r="E55" s="143"/>
      <c r="F55" s="143"/>
      <c r="G55" s="98"/>
      <c r="H55" s="98"/>
      <c r="I55" s="98"/>
      <c r="J55" s="98"/>
      <c r="K55" s="98"/>
    </row>
    <row r="56" spans="2:11" s="47" customFormat="1" ht="20.25" customHeight="1" thickBot="1" x14ac:dyDescent="0.3">
      <c r="B56" s="135" t="s">
        <v>133</v>
      </c>
      <c r="E56" s="174"/>
      <c r="F56" s="174"/>
      <c r="G56" s="58"/>
    </row>
    <row r="57" spans="2:11" s="142" customFormat="1" ht="28.5" customHeight="1" thickBot="1" x14ac:dyDescent="0.3">
      <c r="B57" s="271" t="s">
        <v>45</v>
      </c>
      <c r="C57" s="273" t="s">
        <v>126</v>
      </c>
      <c r="D57" s="274"/>
      <c r="E57" s="275"/>
      <c r="F57" s="139"/>
      <c r="G57" s="271" t="s">
        <v>45</v>
      </c>
      <c r="H57" s="273" t="s">
        <v>126</v>
      </c>
      <c r="I57" s="274"/>
      <c r="J57" s="275"/>
    </row>
    <row r="58" spans="2:11" s="142" customFormat="1" ht="15.75" thickBot="1" x14ac:dyDescent="0.3">
      <c r="B58" s="272"/>
      <c r="C58" s="145" t="s">
        <v>2</v>
      </c>
      <c r="D58" s="146" t="s">
        <v>3</v>
      </c>
      <c r="E58" s="147" t="s">
        <v>4</v>
      </c>
      <c r="F58" s="139"/>
      <c r="G58" s="272"/>
      <c r="H58" s="145" t="s">
        <v>2</v>
      </c>
      <c r="I58" s="146" t="s">
        <v>3</v>
      </c>
      <c r="J58" s="147" t="s">
        <v>4</v>
      </c>
    </row>
    <row r="59" spans="2:11" s="142" customFormat="1" x14ac:dyDescent="0.25">
      <c r="B59" s="114" t="s">
        <v>5</v>
      </c>
      <c r="C59" s="115">
        <v>23</v>
      </c>
      <c r="D59" s="115">
        <v>19</v>
      </c>
      <c r="E59" s="64">
        <f t="shared" ref="E59:E76" si="9">SUM(C59:D59)</f>
        <v>42</v>
      </c>
      <c r="F59" s="148"/>
      <c r="G59" s="117" t="s">
        <v>6</v>
      </c>
      <c r="H59" s="57">
        <f>SUM(C59:C60)</f>
        <v>90</v>
      </c>
      <c r="I59" s="69">
        <f>SUM(D59:D60)</f>
        <v>106</v>
      </c>
      <c r="J59" s="69">
        <f t="shared" ref="J59:J62" si="10">SUM(H59:I59)</f>
        <v>196</v>
      </c>
      <c r="K59" s="175"/>
    </row>
    <row r="60" spans="2:11" s="142" customFormat="1" x14ac:dyDescent="0.25">
      <c r="B60" s="118" t="s">
        <v>7</v>
      </c>
      <c r="C60" s="119">
        <v>67</v>
      </c>
      <c r="D60" s="119">
        <v>87</v>
      </c>
      <c r="E60" s="66">
        <f t="shared" si="9"/>
        <v>154</v>
      </c>
      <c r="F60" s="139"/>
      <c r="G60" s="120" t="s">
        <v>8</v>
      </c>
      <c r="H60" s="57">
        <f>SUM(C61:C62)</f>
        <v>378</v>
      </c>
      <c r="I60" s="70">
        <f>SUM(D61:D62)</f>
        <v>308</v>
      </c>
      <c r="J60" s="70">
        <f t="shared" si="10"/>
        <v>686</v>
      </c>
    </row>
    <row r="61" spans="2:11" s="142" customFormat="1" x14ac:dyDescent="0.25">
      <c r="B61" s="114" t="s">
        <v>59</v>
      </c>
      <c r="C61" s="119">
        <v>153</v>
      </c>
      <c r="D61" s="119">
        <v>143</v>
      </c>
      <c r="E61" s="66">
        <f t="shared" si="9"/>
        <v>296</v>
      </c>
      <c r="F61" s="139"/>
      <c r="G61" s="120" t="s">
        <v>10</v>
      </c>
      <c r="H61" s="57">
        <f>SUM(C63:C71)</f>
        <v>1227</v>
      </c>
      <c r="I61" s="70">
        <f>SUM(D63:D71)</f>
        <v>987</v>
      </c>
      <c r="J61" s="70">
        <f t="shared" si="10"/>
        <v>2214</v>
      </c>
    </row>
    <row r="62" spans="2:11" s="142" customFormat="1" ht="15.75" thickBot="1" x14ac:dyDescent="0.3">
      <c r="B62" s="114" t="s">
        <v>11</v>
      </c>
      <c r="C62" s="119">
        <v>225</v>
      </c>
      <c r="D62" s="119">
        <v>165</v>
      </c>
      <c r="E62" s="66">
        <f t="shared" si="9"/>
        <v>390</v>
      </c>
      <c r="F62" s="139"/>
      <c r="G62" s="120" t="s">
        <v>12</v>
      </c>
      <c r="H62" s="57">
        <f>SUM(C72:C75)</f>
        <v>276</v>
      </c>
      <c r="I62" s="70">
        <f>SUM(D72:D75)</f>
        <v>245</v>
      </c>
      <c r="J62" s="70">
        <f t="shared" si="10"/>
        <v>521</v>
      </c>
    </row>
    <row r="63" spans="2:11" s="142" customFormat="1" ht="15.75" thickBot="1" x14ac:dyDescent="0.3">
      <c r="B63" s="114" t="s">
        <v>13</v>
      </c>
      <c r="C63" s="119">
        <v>162</v>
      </c>
      <c r="D63" s="119">
        <v>127</v>
      </c>
      <c r="E63" s="66">
        <f t="shared" si="9"/>
        <v>289</v>
      </c>
      <c r="F63" s="139"/>
      <c r="G63" s="121" t="s">
        <v>14</v>
      </c>
      <c r="H63" s="72">
        <f>SUM(H59:H62)</f>
        <v>1971</v>
      </c>
      <c r="I63" s="72">
        <f t="shared" ref="I63" si="11">SUM(I59:I62)</f>
        <v>1646</v>
      </c>
      <c r="J63" s="72">
        <f t="shared" ref="J63" si="12">SUM(J59:J62)</f>
        <v>3617</v>
      </c>
    </row>
    <row r="64" spans="2:11" s="142" customFormat="1" ht="15.75" thickBot="1" x14ac:dyDescent="0.3">
      <c r="B64" s="114" t="s">
        <v>15</v>
      </c>
      <c r="C64" s="119">
        <v>147</v>
      </c>
      <c r="D64" s="119">
        <v>84</v>
      </c>
      <c r="E64" s="66">
        <f t="shared" si="9"/>
        <v>231</v>
      </c>
      <c r="F64" s="139"/>
      <c r="K64" s="175"/>
    </row>
    <row r="65" spans="2:10" s="142" customFormat="1" x14ac:dyDescent="0.25">
      <c r="B65" s="114" t="s">
        <v>16</v>
      </c>
      <c r="C65" s="119">
        <v>93</v>
      </c>
      <c r="D65" s="119">
        <v>77</v>
      </c>
      <c r="E65" s="66">
        <f>SUM(C65:D65)</f>
        <v>170</v>
      </c>
      <c r="F65" s="139"/>
      <c r="G65" s="171" t="s">
        <v>150</v>
      </c>
      <c r="H65" s="250">
        <v>0</v>
      </c>
      <c r="I65" s="262" t="s">
        <v>60</v>
      </c>
      <c r="J65" s="69">
        <f>SUM(C63:C67)</f>
        <v>635</v>
      </c>
    </row>
    <row r="66" spans="2:10" s="142" customFormat="1" ht="15.75" thickBot="1" x14ac:dyDescent="0.3">
      <c r="B66" s="114" t="s">
        <v>17</v>
      </c>
      <c r="C66" s="119">
        <v>107</v>
      </c>
      <c r="D66" s="119">
        <v>116</v>
      </c>
      <c r="E66" s="66">
        <f t="shared" si="9"/>
        <v>223</v>
      </c>
      <c r="F66" s="139"/>
      <c r="G66" s="172" t="s">
        <v>151</v>
      </c>
      <c r="H66" s="251">
        <v>1</v>
      </c>
      <c r="I66" s="263" t="s">
        <v>61</v>
      </c>
      <c r="J66" s="51">
        <f>SUM(D68:D71)</f>
        <v>474</v>
      </c>
    </row>
    <row r="67" spans="2:10" s="142" customFormat="1" ht="15.75" thickBot="1" x14ac:dyDescent="0.3">
      <c r="B67" s="114" t="s">
        <v>18</v>
      </c>
      <c r="C67" s="119">
        <v>126</v>
      </c>
      <c r="D67" s="119">
        <v>109</v>
      </c>
      <c r="E67" s="66">
        <f t="shared" si="9"/>
        <v>235</v>
      </c>
      <c r="F67" s="139"/>
      <c r="G67" s="172" t="s">
        <v>152</v>
      </c>
      <c r="H67" s="251">
        <v>2</v>
      </c>
      <c r="I67" s="104"/>
      <c r="J67" s="94"/>
    </row>
    <row r="68" spans="2:10" s="142" customFormat="1" x14ac:dyDescent="0.25">
      <c r="B68" s="114" t="s">
        <v>19</v>
      </c>
      <c r="C68" s="119">
        <v>152</v>
      </c>
      <c r="D68" s="119">
        <v>110</v>
      </c>
      <c r="E68" s="66">
        <f t="shared" si="9"/>
        <v>262</v>
      </c>
      <c r="F68" s="139"/>
      <c r="G68" s="172" t="s">
        <v>89</v>
      </c>
      <c r="H68" s="251">
        <v>14</v>
      </c>
      <c r="I68" s="171" t="s">
        <v>153</v>
      </c>
      <c r="J68" s="198">
        <f>+H72+H73+H74+E61+E62</f>
        <v>787</v>
      </c>
    </row>
    <row r="69" spans="2:10" s="142" customFormat="1" ht="15.75" thickBot="1" x14ac:dyDescent="0.3">
      <c r="B69" s="114" t="s">
        <v>20</v>
      </c>
      <c r="C69" s="119">
        <v>151</v>
      </c>
      <c r="D69" s="119">
        <v>133</v>
      </c>
      <c r="E69" s="66">
        <f t="shared" si="9"/>
        <v>284</v>
      </c>
      <c r="F69" s="139"/>
      <c r="G69" s="172" t="s">
        <v>90</v>
      </c>
      <c r="H69" s="251">
        <v>25</v>
      </c>
      <c r="I69" s="176" t="s">
        <v>64</v>
      </c>
      <c r="J69" s="199">
        <f>SUM(E59:E62)</f>
        <v>882</v>
      </c>
    </row>
    <row r="70" spans="2:10" s="142" customFormat="1" x14ac:dyDescent="0.25">
      <c r="B70" s="114" t="s">
        <v>21</v>
      </c>
      <c r="C70" s="119">
        <v>162</v>
      </c>
      <c r="D70" s="119">
        <v>125</v>
      </c>
      <c r="E70" s="66">
        <f t="shared" si="9"/>
        <v>287</v>
      </c>
      <c r="F70" s="139"/>
      <c r="G70" s="172" t="s">
        <v>169</v>
      </c>
      <c r="H70" s="251">
        <v>24</v>
      </c>
    </row>
    <row r="71" spans="2:10" s="142" customFormat="1" x14ac:dyDescent="0.25">
      <c r="B71" s="114" t="s">
        <v>22</v>
      </c>
      <c r="C71" s="119">
        <v>127</v>
      </c>
      <c r="D71" s="119">
        <v>106</v>
      </c>
      <c r="E71" s="66">
        <f t="shared" si="9"/>
        <v>233</v>
      </c>
      <c r="F71" s="139"/>
      <c r="G71" s="172" t="s">
        <v>57</v>
      </c>
      <c r="H71" s="251">
        <v>29</v>
      </c>
    </row>
    <row r="72" spans="2:10" s="142" customFormat="1" x14ac:dyDescent="0.25">
      <c r="B72" s="114" t="s">
        <v>23</v>
      </c>
      <c r="C72" s="119">
        <v>93</v>
      </c>
      <c r="D72" s="119">
        <v>66</v>
      </c>
      <c r="E72" s="66">
        <f t="shared" si="9"/>
        <v>159</v>
      </c>
      <c r="F72" s="139"/>
      <c r="G72" s="172" t="s">
        <v>168</v>
      </c>
      <c r="H72" s="251">
        <v>29</v>
      </c>
    </row>
    <row r="73" spans="2:10" s="142" customFormat="1" x14ac:dyDescent="0.25">
      <c r="B73" s="114" t="s">
        <v>24</v>
      </c>
      <c r="C73" s="119">
        <v>70</v>
      </c>
      <c r="D73" s="119">
        <v>62</v>
      </c>
      <c r="E73" s="66">
        <f t="shared" si="9"/>
        <v>132</v>
      </c>
      <c r="F73" s="139"/>
      <c r="G73" s="172" t="s">
        <v>170</v>
      </c>
      <c r="H73" s="251">
        <v>33</v>
      </c>
    </row>
    <row r="74" spans="2:10" s="142" customFormat="1" x14ac:dyDescent="0.25">
      <c r="B74" s="114" t="s">
        <v>25</v>
      </c>
      <c r="C74" s="119">
        <v>56</v>
      </c>
      <c r="D74" s="119">
        <v>52</v>
      </c>
      <c r="E74" s="66">
        <f t="shared" si="9"/>
        <v>108</v>
      </c>
      <c r="F74" s="139"/>
      <c r="G74" s="172" t="s">
        <v>171</v>
      </c>
      <c r="H74" s="251">
        <v>39</v>
      </c>
    </row>
    <row r="75" spans="2:10" s="142" customFormat="1" x14ac:dyDescent="0.25">
      <c r="B75" s="114" t="s">
        <v>26</v>
      </c>
      <c r="C75" s="119">
        <v>57</v>
      </c>
      <c r="D75" s="119">
        <v>65</v>
      </c>
      <c r="E75" s="66">
        <f t="shared" si="9"/>
        <v>122</v>
      </c>
      <c r="F75" s="139"/>
      <c r="G75" s="172" t="s">
        <v>58</v>
      </c>
      <c r="H75" s="251">
        <v>52</v>
      </c>
    </row>
    <row r="76" spans="2:10" s="142" customFormat="1" ht="15.75" thickBot="1" x14ac:dyDescent="0.3">
      <c r="B76" s="114" t="s">
        <v>98</v>
      </c>
      <c r="C76" s="67"/>
      <c r="D76" s="67"/>
      <c r="E76" s="68">
        <f t="shared" si="9"/>
        <v>0</v>
      </c>
      <c r="F76" s="139"/>
      <c r="G76" s="176" t="s">
        <v>63</v>
      </c>
      <c r="H76" s="252">
        <v>51</v>
      </c>
      <c r="I76" s="139"/>
    </row>
    <row r="77" spans="2:10" s="142" customFormat="1" ht="15.75" thickBot="1" x14ac:dyDescent="0.3">
      <c r="B77" s="123" t="s">
        <v>14</v>
      </c>
      <c r="C77" s="73">
        <f>SUM(C59:C76)</f>
        <v>1971</v>
      </c>
      <c r="D77" s="73">
        <f>SUM(D59:D76)</f>
        <v>1646</v>
      </c>
      <c r="E77" s="73">
        <f>SUM(E59:E76)</f>
        <v>3617</v>
      </c>
      <c r="F77" s="139"/>
      <c r="G77" s="139"/>
      <c r="H77" s="139"/>
      <c r="I77" s="139"/>
    </row>
    <row r="79" spans="2:10" s="47" customFormat="1" ht="20.25" customHeight="1" thickBot="1" x14ac:dyDescent="0.3">
      <c r="B79" s="135" t="s">
        <v>134</v>
      </c>
      <c r="E79" s="174"/>
      <c r="F79" s="174"/>
      <c r="G79" s="58"/>
    </row>
    <row r="80" spans="2:10" s="142" customFormat="1" ht="28.5" customHeight="1" thickBot="1" x14ac:dyDescent="0.3">
      <c r="B80" s="271" t="s">
        <v>45</v>
      </c>
      <c r="C80" s="273" t="s">
        <v>127</v>
      </c>
      <c r="D80" s="274"/>
      <c r="E80" s="275"/>
      <c r="F80" s="139"/>
      <c r="G80" s="271" t="s">
        <v>45</v>
      </c>
      <c r="H80" s="273" t="s">
        <v>127</v>
      </c>
      <c r="I80" s="274"/>
      <c r="J80" s="275"/>
    </row>
    <row r="81" spans="2:11" s="142" customFormat="1" ht="15.75" thickBot="1" x14ac:dyDescent="0.3">
      <c r="B81" s="272"/>
      <c r="C81" s="145" t="s">
        <v>2</v>
      </c>
      <c r="D81" s="146" t="s">
        <v>3</v>
      </c>
      <c r="E81" s="147" t="s">
        <v>4</v>
      </c>
      <c r="F81" s="139"/>
      <c r="G81" s="272"/>
      <c r="H81" s="145" t="s">
        <v>2</v>
      </c>
      <c r="I81" s="146" t="s">
        <v>3</v>
      </c>
      <c r="J81" s="147" t="s">
        <v>4</v>
      </c>
    </row>
    <row r="82" spans="2:11" s="142" customFormat="1" x14ac:dyDescent="0.25">
      <c r="B82" s="114" t="s">
        <v>5</v>
      </c>
      <c r="C82" s="115">
        <v>15</v>
      </c>
      <c r="D82" s="115">
        <v>13</v>
      </c>
      <c r="E82" s="64">
        <f t="shared" ref="E82:E87" si="13">SUM(C82:D82)</f>
        <v>28</v>
      </c>
      <c r="F82" s="148"/>
      <c r="G82" s="117" t="s">
        <v>6</v>
      </c>
      <c r="H82" s="57">
        <f>SUM(C82:C83)</f>
        <v>30</v>
      </c>
      <c r="I82" s="69">
        <f>SUM(D82:D83)</f>
        <v>25</v>
      </c>
      <c r="J82" s="69">
        <f t="shared" ref="J82:J85" si="14">SUM(H82:I82)</f>
        <v>55</v>
      </c>
      <c r="K82" s="175"/>
    </row>
    <row r="83" spans="2:11" s="142" customFormat="1" x14ac:dyDescent="0.25">
      <c r="B83" s="118" t="s">
        <v>7</v>
      </c>
      <c r="C83" s="119">
        <v>15</v>
      </c>
      <c r="D83" s="119">
        <v>12</v>
      </c>
      <c r="E83" s="66">
        <f t="shared" si="13"/>
        <v>27</v>
      </c>
      <c r="F83" s="139"/>
      <c r="G83" s="120" t="s">
        <v>8</v>
      </c>
      <c r="H83" s="57">
        <f>SUM(C84:C85)</f>
        <v>19</v>
      </c>
      <c r="I83" s="70">
        <f>SUM(D84:D85)</f>
        <v>16</v>
      </c>
      <c r="J83" s="70">
        <f t="shared" si="14"/>
        <v>35</v>
      </c>
    </row>
    <row r="84" spans="2:11" s="142" customFormat="1" x14ac:dyDescent="0.25">
      <c r="B84" s="114" t="s">
        <v>59</v>
      </c>
      <c r="C84" s="119">
        <v>11</v>
      </c>
      <c r="D84" s="119">
        <v>9</v>
      </c>
      <c r="E84" s="66">
        <f t="shared" si="13"/>
        <v>20</v>
      </c>
      <c r="F84" s="139"/>
      <c r="G84" s="120" t="s">
        <v>10</v>
      </c>
      <c r="H84" s="57">
        <f>SUM(C86:C94)</f>
        <v>100</v>
      </c>
      <c r="I84" s="70">
        <f>SUM(D86:D94)</f>
        <v>107</v>
      </c>
      <c r="J84" s="70">
        <f t="shared" si="14"/>
        <v>207</v>
      </c>
    </row>
    <row r="85" spans="2:11" s="142" customFormat="1" ht="15.75" thickBot="1" x14ac:dyDescent="0.3">
      <c r="B85" s="114" t="s">
        <v>11</v>
      </c>
      <c r="C85" s="119">
        <v>8</v>
      </c>
      <c r="D85" s="119">
        <v>7</v>
      </c>
      <c r="E85" s="66">
        <f t="shared" si="13"/>
        <v>15</v>
      </c>
      <c r="F85" s="139"/>
      <c r="G85" s="120" t="s">
        <v>12</v>
      </c>
      <c r="H85" s="57">
        <f>SUM(C95:C98)</f>
        <v>6</v>
      </c>
      <c r="I85" s="70">
        <f>SUM(D95:D98)</f>
        <v>13</v>
      </c>
      <c r="J85" s="70">
        <f t="shared" si="14"/>
        <v>19</v>
      </c>
    </row>
    <row r="86" spans="2:11" s="142" customFormat="1" ht="15.75" thickBot="1" x14ac:dyDescent="0.3">
      <c r="B86" s="114" t="s">
        <v>13</v>
      </c>
      <c r="C86" s="119">
        <v>27</v>
      </c>
      <c r="D86" s="119">
        <v>14</v>
      </c>
      <c r="E86" s="66">
        <f t="shared" si="13"/>
        <v>41</v>
      </c>
      <c r="F86" s="139"/>
      <c r="G86" s="121" t="s">
        <v>14</v>
      </c>
      <c r="H86" s="72">
        <f>SUM(H82:H85)</f>
        <v>155</v>
      </c>
      <c r="I86" s="72">
        <f t="shared" ref="I86" si="15">SUM(I82:I85)</f>
        <v>161</v>
      </c>
      <c r="J86" s="72">
        <f t="shared" ref="J86" si="16">SUM(J82:J85)</f>
        <v>316</v>
      </c>
    </row>
    <row r="87" spans="2:11" s="142" customFormat="1" ht="15.75" thickBot="1" x14ac:dyDescent="0.3">
      <c r="B87" s="114" t="s">
        <v>15</v>
      </c>
      <c r="C87" s="119">
        <v>13</v>
      </c>
      <c r="D87" s="119">
        <v>19</v>
      </c>
      <c r="E87" s="66">
        <f t="shared" si="13"/>
        <v>32</v>
      </c>
      <c r="F87" s="139"/>
      <c r="K87" s="175"/>
    </row>
    <row r="88" spans="2:11" s="142" customFormat="1" x14ac:dyDescent="0.25">
      <c r="B88" s="114" t="s">
        <v>16</v>
      </c>
      <c r="C88" s="119">
        <v>13</v>
      </c>
      <c r="D88" s="119">
        <v>13</v>
      </c>
      <c r="E88" s="66">
        <f>SUM(C88:D88)</f>
        <v>26</v>
      </c>
      <c r="F88" s="139"/>
      <c r="G88" s="171" t="s">
        <v>150</v>
      </c>
      <c r="H88" s="250">
        <v>3</v>
      </c>
      <c r="I88" s="262" t="s">
        <v>60</v>
      </c>
      <c r="J88" s="69">
        <f>SUM(C86:C90)</f>
        <v>74</v>
      </c>
    </row>
    <row r="89" spans="2:11" s="142" customFormat="1" ht="15.75" thickBot="1" x14ac:dyDescent="0.3">
      <c r="B89" s="114" t="s">
        <v>17</v>
      </c>
      <c r="C89" s="119">
        <v>14</v>
      </c>
      <c r="D89" s="119">
        <v>15</v>
      </c>
      <c r="E89" s="66">
        <f t="shared" ref="E89:E99" si="17">SUM(C89:D89)</f>
        <v>29</v>
      </c>
      <c r="F89" s="139"/>
      <c r="G89" s="172" t="s">
        <v>151</v>
      </c>
      <c r="H89" s="251">
        <v>5</v>
      </c>
      <c r="I89" s="263" t="s">
        <v>61</v>
      </c>
      <c r="J89" s="51">
        <f>SUM(D91:D94)</f>
        <v>34</v>
      </c>
    </row>
    <row r="90" spans="2:11" s="142" customFormat="1" ht="15.75" thickBot="1" x14ac:dyDescent="0.3">
      <c r="B90" s="114" t="s">
        <v>18</v>
      </c>
      <c r="C90" s="119">
        <v>7</v>
      </c>
      <c r="D90" s="119">
        <v>12</v>
      </c>
      <c r="E90" s="66">
        <f t="shared" si="17"/>
        <v>19</v>
      </c>
      <c r="F90" s="139"/>
      <c r="G90" s="172" t="s">
        <v>152</v>
      </c>
      <c r="H90" s="251">
        <v>5</v>
      </c>
      <c r="I90" s="104"/>
      <c r="J90" s="94"/>
    </row>
    <row r="91" spans="2:11" s="142" customFormat="1" x14ac:dyDescent="0.25">
      <c r="B91" s="114" t="s">
        <v>19</v>
      </c>
      <c r="C91" s="119">
        <v>6</v>
      </c>
      <c r="D91" s="119">
        <v>7</v>
      </c>
      <c r="E91" s="66">
        <f t="shared" si="17"/>
        <v>13</v>
      </c>
      <c r="F91" s="139"/>
      <c r="G91" s="172" t="s">
        <v>89</v>
      </c>
      <c r="H91" s="251">
        <v>8</v>
      </c>
      <c r="I91" s="171" t="s">
        <v>153</v>
      </c>
      <c r="J91" s="198">
        <f>+H95+H96+H97+E84+E85</f>
        <v>49</v>
      </c>
    </row>
    <row r="92" spans="2:11" s="142" customFormat="1" ht="15.75" thickBot="1" x14ac:dyDescent="0.3">
      <c r="B92" s="114" t="s">
        <v>20</v>
      </c>
      <c r="C92" s="119">
        <v>7</v>
      </c>
      <c r="D92" s="119">
        <v>12</v>
      </c>
      <c r="E92" s="66">
        <f t="shared" si="17"/>
        <v>19</v>
      </c>
      <c r="F92" s="139"/>
      <c r="G92" s="172" t="s">
        <v>90</v>
      </c>
      <c r="H92" s="251">
        <v>7</v>
      </c>
      <c r="I92" s="176" t="s">
        <v>64</v>
      </c>
      <c r="J92" s="199">
        <f>SUM(E82:E85)</f>
        <v>90</v>
      </c>
    </row>
    <row r="93" spans="2:11" s="142" customFormat="1" x14ac:dyDescent="0.25">
      <c r="B93" s="114" t="s">
        <v>21</v>
      </c>
      <c r="C93" s="119">
        <v>7</v>
      </c>
      <c r="D93" s="119">
        <v>11</v>
      </c>
      <c r="E93" s="66">
        <f t="shared" si="17"/>
        <v>18</v>
      </c>
      <c r="F93" s="139"/>
      <c r="G93" s="172" t="s">
        <v>169</v>
      </c>
      <c r="H93" s="251">
        <v>4</v>
      </c>
    </row>
    <row r="94" spans="2:11" s="142" customFormat="1" x14ac:dyDescent="0.25">
      <c r="B94" s="114" t="s">
        <v>22</v>
      </c>
      <c r="C94" s="119">
        <v>6</v>
      </c>
      <c r="D94" s="119">
        <v>4</v>
      </c>
      <c r="E94" s="66">
        <f t="shared" si="17"/>
        <v>10</v>
      </c>
      <c r="F94" s="139"/>
      <c r="G94" s="172" t="s">
        <v>57</v>
      </c>
      <c r="H94" s="251">
        <v>9</v>
      </c>
    </row>
    <row r="95" spans="2:11" s="142" customFormat="1" x14ac:dyDescent="0.25">
      <c r="B95" s="114" t="s">
        <v>23</v>
      </c>
      <c r="C95" s="119">
        <v>1</v>
      </c>
      <c r="D95" s="119">
        <v>6</v>
      </c>
      <c r="E95" s="66">
        <f t="shared" si="17"/>
        <v>7</v>
      </c>
      <c r="F95" s="139"/>
      <c r="G95" s="172" t="s">
        <v>168</v>
      </c>
      <c r="H95" s="251">
        <v>2</v>
      </c>
    </row>
    <row r="96" spans="2:11" s="142" customFormat="1" x14ac:dyDescent="0.25">
      <c r="B96" s="114" t="s">
        <v>24</v>
      </c>
      <c r="C96" s="119">
        <v>3</v>
      </c>
      <c r="D96" s="119">
        <v>2</v>
      </c>
      <c r="E96" s="66">
        <f t="shared" si="17"/>
        <v>5</v>
      </c>
      <c r="F96" s="139"/>
      <c r="G96" s="172" t="s">
        <v>170</v>
      </c>
      <c r="H96" s="251">
        <v>5</v>
      </c>
    </row>
    <row r="97" spans="2:11" s="142" customFormat="1" x14ac:dyDescent="0.25">
      <c r="B97" s="114" t="s">
        <v>25</v>
      </c>
      <c r="C97" s="119">
        <v>1</v>
      </c>
      <c r="D97" s="119">
        <v>2</v>
      </c>
      <c r="E97" s="66">
        <f t="shared" si="17"/>
        <v>3</v>
      </c>
      <c r="F97" s="139"/>
      <c r="G97" s="172" t="s">
        <v>171</v>
      </c>
      <c r="H97" s="251">
        <v>7</v>
      </c>
    </row>
    <row r="98" spans="2:11" s="142" customFormat="1" x14ac:dyDescent="0.25">
      <c r="B98" s="114" t="s">
        <v>26</v>
      </c>
      <c r="C98" s="119">
        <v>1</v>
      </c>
      <c r="D98" s="119">
        <v>3</v>
      </c>
      <c r="E98" s="66">
        <f t="shared" si="17"/>
        <v>4</v>
      </c>
      <c r="F98" s="139"/>
      <c r="G98" s="172" t="s">
        <v>58</v>
      </c>
      <c r="H98" s="251">
        <v>2</v>
      </c>
    </row>
    <row r="99" spans="2:11" s="142" customFormat="1" ht="15.75" thickBot="1" x14ac:dyDescent="0.3">
      <c r="B99" s="114" t="s">
        <v>98</v>
      </c>
      <c r="C99" s="67"/>
      <c r="D99" s="67"/>
      <c r="E99" s="68">
        <f t="shared" si="17"/>
        <v>0</v>
      </c>
      <c r="F99" s="139"/>
      <c r="G99" s="176" t="s">
        <v>63</v>
      </c>
      <c r="H99" s="252">
        <v>4</v>
      </c>
      <c r="I99" s="139"/>
    </row>
    <row r="100" spans="2:11" s="142" customFormat="1" ht="15.75" thickBot="1" x14ac:dyDescent="0.3">
      <c r="B100" s="123" t="s">
        <v>14</v>
      </c>
      <c r="C100" s="73">
        <f>SUM(C82:C99)</f>
        <v>155</v>
      </c>
      <c r="D100" s="73">
        <f>SUM(D82:D99)</f>
        <v>161</v>
      </c>
      <c r="E100" s="73">
        <f>SUM(E82:E99)</f>
        <v>316</v>
      </c>
      <c r="F100" s="139"/>
      <c r="G100" s="139"/>
      <c r="H100" s="139"/>
    </row>
    <row r="102" spans="2:11" s="47" customFormat="1" ht="20.25" customHeight="1" thickBot="1" x14ac:dyDescent="0.3">
      <c r="B102" s="135" t="s">
        <v>135</v>
      </c>
      <c r="E102" s="174"/>
      <c r="F102" s="174"/>
      <c r="G102" s="58"/>
    </row>
    <row r="103" spans="2:11" s="142" customFormat="1" ht="28.5" customHeight="1" thickBot="1" x14ac:dyDescent="0.3">
      <c r="B103" s="271" t="s">
        <v>45</v>
      </c>
      <c r="C103" s="273" t="s">
        <v>128</v>
      </c>
      <c r="D103" s="274"/>
      <c r="E103" s="275"/>
      <c r="F103" s="139"/>
      <c r="G103" s="271" t="s">
        <v>45</v>
      </c>
      <c r="H103" s="273" t="s">
        <v>128</v>
      </c>
      <c r="I103" s="274"/>
      <c r="J103" s="275"/>
    </row>
    <row r="104" spans="2:11" s="142" customFormat="1" ht="15.75" thickBot="1" x14ac:dyDescent="0.3">
      <c r="B104" s="272"/>
      <c r="C104" s="145" t="s">
        <v>2</v>
      </c>
      <c r="D104" s="146" t="s">
        <v>3</v>
      </c>
      <c r="E104" s="147" t="s">
        <v>4</v>
      </c>
      <c r="F104" s="139"/>
      <c r="G104" s="272"/>
      <c r="H104" s="145" t="s">
        <v>2</v>
      </c>
      <c r="I104" s="146" t="s">
        <v>3</v>
      </c>
      <c r="J104" s="147" t="s">
        <v>4</v>
      </c>
    </row>
    <row r="105" spans="2:11" s="142" customFormat="1" x14ac:dyDescent="0.25">
      <c r="B105" s="114" t="s">
        <v>5</v>
      </c>
      <c r="C105" s="115">
        <v>29</v>
      </c>
      <c r="D105" s="115">
        <v>23</v>
      </c>
      <c r="E105" s="64">
        <f t="shared" ref="E105:E110" si="18">SUM(C105:D105)</f>
        <v>52</v>
      </c>
      <c r="F105" s="148"/>
      <c r="G105" s="117" t="s">
        <v>6</v>
      </c>
      <c r="H105" s="57">
        <f>SUM(C105:C106)</f>
        <v>55</v>
      </c>
      <c r="I105" s="69">
        <f>SUM(D105:D106)</f>
        <v>52</v>
      </c>
      <c r="J105" s="69">
        <f t="shared" ref="J105:J108" si="19">SUM(H105:I105)</f>
        <v>107</v>
      </c>
      <c r="K105" s="175"/>
    </row>
    <row r="106" spans="2:11" s="142" customFormat="1" x14ac:dyDescent="0.25">
      <c r="B106" s="118" t="s">
        <v>7</v>
      </c>
      <c r="C106" s="119">
        <v>26</v>
      </c>
      <c r="D106" s="119">
        <v>29</v>
      </c>
      <c r="E106" s="66">
        <f t="shared" si="18"/>
        <v>55</v>
      </c>
      <c r="F106" s="139"/>
      <c r="G106" s="120" t="s">
        <v>8</v>
      </c>
      <c r="H106" s="57">
        <f>SUM(C107:C108)</f>
        <v>37</v>
      </c>
      <c r="I106" s="70">
        <f>SUM(D107:D108)</f>
        <v>38</v>
      </c>
      <c r="J106" s="70">
        <f t="shared" si="19"/>
        <v>75</v>
      </c>
    </row>
    <row r="107" spans="2:11" s="142" customFormat="1" x14ac:dyDescent="0.25">
      <c r="B107" s="114" t="s">
        <v>59</v>
      </c>
      <c r="C107" s="119">
        <v>28</v>
      </c>
      <c r="D107" s="119">
        <v>23</v>
      </c>
      <c r="E107" s="66">
        <f t="shared" si="18"/>
        <v>51</v>
      </c>
      <c r="F107" s="139"/>
      <c r="G107" s="120" t="s">
        <v>10</v>
      </c>
      <c r="H107" s="57">
        <f>SUM(C109:C117)</f>
        <v>109</v>
      </c>
      <c r="I107" s="70">
        <f>SUM(D109:D117)</f>
        <v>136</v>
      </c>
      <c r="J107" s="70">
        <f t="shared" si="19"/>
        <v>245</v>
      </c>
    </row>
    <row r="108" spans="2:11" s="142" customFormat="1" ht="15.75" thickBot="1" x14ac:dyDescent="0.3">
      <c r="B108" s="114" t="s">
        <v>11</v>
      </c>
      <c r="C108" s="119">
        <v>9</v>
      </c>
      <c r="D108" s="119">
        <v>15</v>
      </c>
      <c r="E108" s="66">
        <f t="shared" si="18"/>
        <v>24</v>
      </c>
      <c r="F108" s="139"/>
      <c r="G108" s="120" t="s">
        <v>12</v>
      </c>
      <c r="H108" s="57">
        <f>SUM(C118:C121)</f>
        <v>19</v>
      </c>
      <c r="I108" s="70">
        <f>SUM(D118:D121)</f>
        <v>24</v>
      </c>
      <c r="J108" s="70">
        <f t="shared" si="19"/>
        <v>43</v>
      </c>
    </row>
    <row r="109" spans="2:11" s="142" customFormat="1" ht="15.75" thickBot="1" x14ac:dyDescent="0.3">
      <c r="B109" s="114" t="s">
        <v>13</v>
      </c>
      <c r="C109" s="119">
        <v>19</v>
      </c>
      <c r="D109" s="119">
        <v>18</v>
      </c>
      <c r="E109" s="66">
        <f t="shared" si="18"/>
        <v>37</v>
      </c>
      <c r="F109" s="139"/>
      <c r="G109" s="121" t="s">
        <v>14</v>
      </c>
      <c r="H109" s="72">
        <f>SUM(H105:H108)</f>
        <v>220</v>
      </c>
      <c r="I109" s="72">
        <f t="shared" ref="I109" si="20">SUM(I105:I108)</f>
        <v>250</v>
      </c>
      <c r="J109" s="72">
        <f t="shared" ref="J109" si="21">SUM(J105:J108)</f>
        <v>470</v>
      </c>
    </row>
    <row r="110" spans="2:11" s="142" customFormat="1" ht="15.75" thickBot="1" x14ac:dyDescent="0.3">
      <c r="B110" s="114" t="s">
        <v>15</v>
      </c>
      <c r="C110" s="119">
        <v>18</v>
      </c>
      <c r="D110" s="119">
        <v>22</v>
      </c>
      <c r="E110" s="66">
        <f t="shared" si="18"/>
        <v>40</v>
      </c>
      <c r="F110" s="139"/>
      <c r="K110" s="175"/>
    </row>
    <row r="111" spans="2:11" s="142" customFormat="1" x14ac:dyDescent="0.25">
      <c r="B111" s="114" t="s">
        <v>16</v>
      </c>
      <c r="C111" s="119">
        <v>14</v>
      </c>
      <c r="D111" s="119">
        <v>25</v>
      </c>
      <c r="E111" s="66">
        <f>SUM(C111:D111)</f>
        <v>39</v>
      </c>
      <c r="F111" s="139"/>
      <c r="G111" s="171" t="s">
        <v>150</v>
      </c>
      <c r="H111" s="250">
        <v>17</v>
      </c>
      <c r="I111" s="262" t="s">
        <v>60</v>
      </c>
      <c r="J111" s="69">
        <f>SUM(C109:C113)</f>
        <v>70</v>
      </c>
    </row>
    <row r="112" spans="2:11" s="142" customFormat="1" ht="15.75" thickBot="1" x14ac:dyDescent="0.3">
      <c r="B112" s="114" t="s">
        <v>17</v>
      </c>
      <c r="C112" s="119">
        <v>8</v>
      </c>
      <c r="D112" s="119">
        <v>20</v>
      </c>
      <c r="E112" s="66">
        <f t="shared" ref="E112:E122" si="22">SUM(C112:D112)</f>
        <v>28</v>
      </c>
      <c r="F112" s="139"/>
      <c r="G112" s="172" t="s">
        <v>151</v>
      </c>
      <c r="H112" s="251">
        <v>4</v>
      </c>
      <c r="I112" s="263" t="s">
        <v>61</v>
      </c>
      <c r="J112" s="51">
        <f>SUM(D114:D117)</f>
        <v>43</v>
      </c>
    </row>
    <row r="113" spans="2:11" s="142" customFormat="1" ht="15.75" thickBot="1" x14ac:dyDescent="0.3">
      <c r="B113" s="114" t="s">
        <v>18</v>
      </c>
      <c r="C113" s="119">
        <v>11</v>
      </c>
      <c r="D113" s="119">
        <v>8</v>
      </c>
      <c r="E113" s="66">
        <f t="shared" si="22"/>
        <v>19</v>
      </c>
      <c r="F113" s="139"/>
      <c r="G113" s="172" t="s">
        <v>152</v>
      </c>
      <c r="H113" s="251">
        <v>11</v>
      </c>
      <c r="I113" s="104"/>
      <c r="J113" s="94"/>
    </row>
    <row r="114" spans="2:11" s="142" customFormat="1" x14ac:dyDescent="0.25">
      <c r="B114" s="114" t="s">
        <v>19</v>
      </c>
      <c r="C114" s="119">
        <v>8</v>
      </c>
      <c r="D114" s="119">
        <v>12</v>
      </c>
      <c r="E114" s="66">
        <f t="shared" si="22"/>
        <v>20</v>
      </c>
      <c r="F114" s="139"/>
      <c r="G114" s="172" t="s">
        <v>89</v>
      </c>
      <c r="H114" s="251">
        <v>10</v>
      </c>
      <c r="I114" s="171" t="s">
        <v>153</v>
      </c>
      <c r="J114" s="198">
        <f>+H118+H119+H120+E107+E108</f>
        <v>108</v>
      </c>
    </row>
    <row r="115" spans="2:11" s="142" customFormat="1" ht="15.75" thickBot="1" x14ac:dyDescent="0.3">
      <c r="B115" s="114" t="s">
        <v>20</v>
      </c>
      <c r="C115" s="119">
        <v>11</v>
      </c>
      <c r="D115" s="119">
        <v>12</v>
      </c>
      <c r="E115" s="66">
        <f t="shared" si="22"/>
        <v>23</v>
      </c>
      <c r="F115" s="139"/>
      <c r="G115" s="172" t="s">
        <v>90</v>
      </c>
      <c r="H115" s="251">
        <v>10</v>
      </c>
      <c r="I115" s="176" t="s">
        <v>64</v>
      </c>
      <c r="J115" s="199">
        <f>SUM(E105:E108)</f>
        <v>182</v>
      </c>
    </row>
    <row r="116" spans="2:11" s="142" customFormat="1" x14ac:dyDescent="0.25">
      <c r="B116" s="114" t="s">
        <v>21</v>
      </c>
      <c r="C116" s="119">
        <v>15</v>
      </c>
      <c r="D116" s="119">
        <v>9</v>
      </c>
      <c r="E116" s="66">
        <f t="shared" si="22"/>
        <v>24</v>
      </c>
      <c r="F116" s="139"/>
      <c r="G116" s="172" t="s">
        <v>169</v>
      </c>
      <c r="H116" s="251">
        <v>9</v>
      </c>
    </row>
    <row r="117" spans="2:11" s="142" customFormat="1" x14ac:dyDescent="0.25">
      <c r="B117" s="114" t="s">
        <v>22</v>
      </c>
      <c r="C117" s="119">
        <v>5</v>
      </c>
      <c r="D117" s="119">
        <v>10</v>
      </c>
      <c r="E117" s="66">
        <f t="shared" si="22"/>
        <v>15</v>
      </c>
      <c r="F117" s="139"/>
      <c r="G117" s="172" t="s">
        <v>57</v>
      </c>
      <c r="H117" s="251">
        <v>13</v>
      </c>
    </row>
    <row r="118" spans="2:11" s="142" customFormat="1" x14ac:dyDescent="0.25">
      <c r="B118" s="114" t="s">
        <v>23</v>
      </c>
      <c r="C118" s="119">
        <v>9</v>
      </c>
      <c r="D118" s="119">
        <v>10</v>
      </c>
      <c r="E118" s="66">
        <f t="shared" si="22"/>
        <v>19</v>
      </c>
      <c r="F118" s="139"/>
      <c r="G118" s="172" t="s">
        <v>168</v>
      </c>
      <c r="H118" s="251">
        <v>16</v>
      </c>
    </row>
    <row r="119" spans="2:11" s="142" customFormat="1" x14ac:dyDescent="0.25">
      <c r="B119" s="114" t="s">
        <v>24</v>
      </c>
      <c r="C119" s="119">
        <v>4</v>
      </c>
      <c r="D119" s="119">
        <v>4</v>
      </c>
      <c r="E119" s="66">
        <f t="shared" si="22"/>
        <v>8</v>
      </c>
      <c r="F119" s="139"/>
      <c r="G119" s="172" t="s">
        <v>170</v>
      </c>
      <c r="H119" s="251">
        <v>9</v>
      </c>
    </row>
    <row r="120" spans="2:11" s="142" customFormat="1" x14ac:dyDescent="0.25">
      <c r="B120" s="114" t="s">
        <v>25</v>
      </c>
      <c r="C120" s="119">
        <v>4</v>
      </c>
      <c r="D120" s="119">
        <v>2</v>
      </c>
      <c r="E120" s="66">
        <f t="shared" si="22"/>
        <v>6</v>
      </c>
      <c r="F120" s="139"/>
      <c r="G120" s="172" t="s">
        <v>171</v>
      </c>
      <c r="H120" s="251">
        <v>8</v>
      </c>
    </row>
    <row r="121" spans="2:11" s="142" customFormat="1" x14ac:dyDescent="0.25">
      <c r="B121" s="114" t="s">
        <v>26</v>
      </c>
      <c r="C121" s="119">
        <v>2</v>
      </c>
      <c r="D121" s="119">
        <v>8</v>
      </c>
      <c r="E121" s="66">
        <f t="shared" si="22"/>
        <v>10</v>
      </c>
      <c r="F121" s="139"/>
      <c r="G121" s="172" t="s">
        <v>58</v>
      </c>
      <c r="H121" s="251">
        <v>8</v>
      </c>
    </row>
    <row r="122" spans="2:11" s="142" customFormat="1" ht="15.75" thickBot="1" x14ac:dyDescent="0.3">
      <c r="B122" s="114" t="s">
        <v>98</v>
      </c>
      <c r="C122" s="67"/>
      <c r="D122" s="67"/>
      <c r="E122" s="68">
        <f t="shared" si="22"/>
        <v>0</v>
      </c>
      <c r="F122" s="139"/>
      <c r="G122" s="176" t="s">
        <v>63</v>
      </c>
      <c r="H122" s="252">
        <v>2</v>
      </c>
      <c r="I122" s="139"/>
    </row>
    <row r="123" spans="2:11" s="142" customFormat="1" ht="15.75" thickBot="1" x14ac:dyDescent="0.3">
      <c r="B123" s="123" t="s">
        <v>14</v>
      </c>
      <c r="C123" s="73">
        <f>SUM(C105:C122)</f>
        <v>220</v>
      </c>
      <c r="D123" s="73">
        <f>SUM(D105:D122)</f>
        <v>250</v>
      </c>
      <c r="E123" s="73">
        <f>SUM(E105:E122)</f>
        <v>470</v>
      </c>
      <c r="F123" s="139"/>
      <c r="G123" s="139"/>
      <c r="H123" s="139"/>
    </row>
    <row r="125" spans="2:11" s="47" customFormat="1" ht="20.25" customHeight="1" thickBot="1" x14ac:dyDescent="0.3">
      <c r="B125" s="135" t="s">
        <v>136</v>
      </c>
      <c r="E125" s="174"/>
      <c r="F125" s="174"/>
      <c r="G125" s="58"/>
    </row>
    <row r="126" spans="2:11" s="142" customFormat="1" ht="28.5" customHeight="1" thickBot="1" x14ac:dyDescent="0.3">
      <c r="B126" s="271" t="s">
        <v>45</v>
      </c>
      <c r="C126" s="273" t="s">
        <v>129</v>
      </c>
      <c r="D126" s="274"/>
      <c r="E126" s="275"/>
      <c r="F126" s="139"/>
      <c r="G126" s="271" t="s">
        <v>45</v>
      </c>
      <c r="H126" s="273" t="s">
        <v>129</v>
      </c>
      <c r="I126" s="274"/>
      <c r="J126" s="275"/>
    </row>
    <row r="127" spans="2:11" s="142" customFormat="1" ht="15.75" thickBot="1" x14ac:dyDescent="0.3">
      <c r="B127" s="272"/>
      <c r="C127" s="145" t="s">
        <v>2</v>
      </c>
      <c r="D127" s="146" t="s">
        <v>3</v>
      </c>
      <c r="E127" s="147" t="s">
        <v>4</v>
      </c>
      <c r="F127" s="139"/>
      <c r="G127" s="272"/>
      <c r="H127" s="145" t="s">
        <v>2</v>
      </c>
      <c r="I127" s="146" t="s">
        <v>3</v>
      </c>
      <c r="J127" s="147" t="s">
        <v>4</v>
      </c>
    </row>
    <row r="128" spans="2:11" s="142" customFormat="1" x14ac:dyDescent="0.25">
      <c r="B128" s="114" t="s">
        <v>5</v>
      </c>
      <c r="C128" s="115">
        <v>6</v>
      </c>
      <c r="D128" s="115">
        <v>9</v>
      </c>
      <c r="E128" s="64">
        <f t="shared" ref="E128:E133" si="23">SUM(C128:D128)</f>
        <v>15</v>
      </c>
      <c r="F128" s="148"/>
      <c r="G128" s="117" t="s">
        <v>6</v>
      </c>
      <c r="H128" s="57">
        <f>SUM(C128:C129)</f>
        <v>15</v>
      </c>
      <c r="I128" s="69">
        <f>SUM(D128:D129)</f>
        <v>17</v>
      </c>
      <c r="J128" s="69">
        <f t="shared" ref="J128:J131" si="24">SUM(H128:I128)</f>
        <v>32</v>
      </c>
      <c r="K128" s="175"/>
    </row>
    <row r="129" spans="2:11" s="142" customFormat="1" x14ac:dyDescent="0.25">
      <c r="B129" s="118" t="s">
        <v>7</v>
      </c>
      <c r="C129" s="119">
        <v>9</v>
      </c>
      <c r="D129" s="119">
        <v>8</v>
      </c>
      <c r="E129" s="66">
        <f t="shared" si="23"/>
        <v>17</v>
      </c>
      <c r="F129" s="139"/>
      <c r="G129" s="120" t="s">
        <v>8</v>
      </c>
      <c r="H129" s="57">
        <f>SUM(C130:C131)</f>
        <v>8</v>
      </c>
      <c r="I129" s="70">
        <f>SUM(D130:D131)</f>
        <v>13</v>
      </c>
      <c r="J129" s="70">
        <f t="shared" si="24"/>
        <v>21</v>
      </c>
    </row>
    <row r="130" spans="2:11" s="142" customFormat="1" x14ac:dyDescent="0.25">
      <c r="B130" s="114" t="s">
        <v>59</v>
      </c>
      <c r="C130" s="119">
        <v>3</v>
      </c>
      <c r="D130" s="119">
        <v>7</v>
      </c>
      <c r="E130" s="66">
        <f t="shared" si="23"/>
        <v>10</v>
      </c>
      <c r="F130" s="139"/>
      <c r="G130" s="120" t="s">
        <v>10</v>
      </c>
      <c r="H130" s="57">
        <f>SUM(C132:C140)</f>
        <v>44</v>
      </c>
      <c r="I130" s="70">
        <f>SUM(D132:D140)</f>
        <v>52</v>
      </c>
      <c r="J130" s="70">
        <f t="shared" si="24"/>
        <v>96</v>
      </c>
    </row>
    <row r="131" spans="2:11" s="142" customFormat="1" ht="15.75" thickBot="1" x14ac:dyDescent="0.3">
      <c r="B131" s="114" t="s">
        <v>11</v>
      </c>
      <c r="C131" s="119">
        <v>5</v>
      </c>
      <c r="D131" s="119">
        <v>6</v>
      </c>
      <c r="E131" s="66">
        <f t="shared" si="23"/>
        <v>11</v>
      </c>
      <c r="F131" s="139"/>
      <c r="G131" s="120" t="s">
        <v>12</v>
      </c>
      <c r="H131" s="57">
        <f>SUM(C141:C144)</f>
        <v>6</v>
      </c>
      <c r="I131" s="70">
        <f>SUM(D141:D144)</f>
        <v>15</v>
      </c>
      <c r="J131" s="70">
        <f t="shared" si="24"/>
        <v>21</v>
      </c>
    </row>
    <row r="132" spans="2:11" s="142" customFormat="1" ht="15.75" thickBot="1" x14ac:dyDescent="0.3">
      <c r="B132" s="114" t="s">
        <v>13</v>
      </c>
      <c r="C132" s="119">
        <v>6</v>
      </c>
      <c r="D132" s="119">
        <v>10</v>
      </c>
      <c r="E132" s="66">
        <f t="shared" si="23"/>
        <v>16</v>
      </c>
      <c r="F132" s="139"/>
      <c r="G132" s="121" t="s">
        <v>14</v>
      </c>
      <c r="H132" s="72">
        <f>SUM(H128:H131)</f>
        <v>73</v>
      </c>
      <c r="I132" s="72">
        <f t="shared" ref="I132:J132" si="25">SUM(I128:I131)</f>
        <v>97</v>
      </c>
      <c r="J132" s="72">
        <f t="shared" si="25"/>
        <v>170</v>
      </c>
    </row>
    <row r="133" spans="2:11" s="142" customFormat="1" ht="15.75" thickBot="1" x14ac:dyDescent="0.3">
      <c r="B133" s="114" t="s">
        <v>15</v>
      </c>
      <c r="C133" s="119">
        <v>5</v>
      </c>
      <c r="D133" s="119">
        <v>4</v>
      </c>
      <c r="E133" s="66">
        <f t="shared" si="23"/>
        <v>9</v>
      </c>
      <c r="F133" s="139"/>
      <c r="K133" s="175"/>
    </row>
    <row r="134" spans="2:11" s="142" customFormat="1" x14ac:dyDescent="0.25">
      <c r="B134" s="114" t="s">
        <v>16</v>
      </c>
      <c r="C134" s="119">
        <v>5</v>
      </c>
      <c r="D134" s="119">
        <v>6</v>
      </c>
      <c r="E134" s="66">
        <f>SUM(C134:D134)</f>
        <v>11</v>
      </c>
      <c r="F134" s="139"/>
      <c r="G134" s="171" t="s">
        <v>150</v>
      </c>
      <c r="H134" s="250">
        <v>4</v>
      </c>
      <c r="I134" s="262" t="s">
        <v>60</v>
      </c>
      <c r="J134" s="69">
        <f>SUM(C132:C136)</f>
        <v>29</v>
      </c>
    </row>
    <row r="135" spans="2:11" s="142" customFormat="1" ht="15.75" thickBot="1" x14ac:dyDescent="0.3">
      <c r="B135" s="114" t="s">
        <v>17</v>
      </c>
      <c r="C135" s="119">
        <v>9</v>
      </c>
      <c r="D135" s="119">
        <v>7</v>
      </c>
      <c r="E135" s="66">
        <f t="shared" ref="E135:E145" si="26">SUM(C135:D135)</f>
        <v>16</v>
      </c>
      <c r="F135" s="139"/>
      <c r="G135" s="172" t="s">
        <v>151</v>
      </c>
      <c r="H135" s="251">
        <v>0</v>
      </c>
      <c r="I135" s="263" t="s">
        <v>61</v>
      </c>
      <c r="J135" s="51">
        <f>SUM(D137:D140)</f>
        <v>20</v>
      </c>
    </row>
    <row r="136" spans="2:11" s="142" customFormat="1" ht="15.75" thickBot="1" x14ac:dyDescent="0.3">
      <c r="B136" s="114" t="s">
        <v>18</v>
      </c>
      <c r="C136" s="119">
        <v>4</v>
      </c>
      <c r="D136" s="119">
        <v>5</v>
      </c>
      <c r="E136" s="66">
        <f t="shared" si="26"/>
        <v>9</v>
      </c>
      <c r="F136" s="139"/>
      <c r="G136" s="172" t="s">
        <v>152</v>
      </c>
      <c r="H136" s="251">
        <v>3</v>
      </c>
      <c r="I136" s="104"/>
      <c r="J136" s="94"/>
    </row>
    <row r="137" spans="2:11" s="142" customFormat="1" x14ac:dyDescent="0.25">
      <c r="B137" s="114" t="s">
        <v>19</v>
      </c>
      <c r="C137" s="119">
        <v>3</v>
      </c>
      <c r="D137" s="119">
        <v>6</v>
      </c>
      <c r="E137" s="66">
        <f t="shared" si="26"/>
        <v>9</v>
      </c>
      <c r="F137" s="139"/>
      <c r="G137" s="172" t="s">
        <v>89</v>
      </c>
      <c r="H137" s="251">
        <v>6</v>
      </c>
      <c r="I137" s="171" t="s">
        <v>153</v>
      </c>
      <c r="J137" s="198">
        <f>+H141+H142+H143+E130+E131</f>
        <v>31</v>
      </c>
    </row>
    <row r="138" spans="2:11" s="142" customFormat="1" ht="15.75" thickBot="1" x14ac:dyDescent="0.3">
      <c r="B138" s="114" t="s">
        <v>20</v>
      </c>
      <c r="C138" s="119">
        <v>6</v>
      </c>
      <c r="D138" s="119">
        <v>6</v>
      </c>
      <c r="E138" s="66">
        <f t="shared" si="26"/>
        <v>12</v>
      </c>
      <c r="F138" s="139"/>
      <c r="G138" s="172" t="s">
        <v>90</v>
      </c>
      <c r="H138" s="251">
        <v>2</v>
      </c>
      <c r="I138" s="176" t="s">
        <v>64</v>
      </c>
      <c r="J138" s="199">
        <f>SUM(E128:E131)</f>
        <v>53</v>
      </c>
    </row>
    <row r="139" spans="2:11" s="142" customFormat="1" x14ac:dyDescent="0.25">
      <c r="B139" s="114" t="s">
        <v>21</v>
      </c>
      <c r="C139" s="119">
        <v>4</v>
      </c>
      <c r="D139" s="119">
        <v>3</v>
      </c>
      <c r="E139" s="66">
        <f t="shared" si="26"/>
        <v>7</v>
      </c>
      <c r="F139" s="139"/>
      <c r="G139" s="172" t="s">
        <v>169</v>
      </c>
      <c r="H139" s="251">
        <v>4</v>
      </c>
    </row>
    <row r="140" spans="2:11" s="142" customFormat="1" x14ac:dyDescent="0.25">
      <c r="B140" s="114" t="s">
        <v>22</v>
      </c>
      <c r="C140" s="119">
        <v>2</v>
      </c>
      <c r="D140" s="119">
        <v>5</v>
      </c>
      <c r="E140" s="66">
        <f t="shared" si="26"/>
        <v>7</v>
      </c>
      <c r="F140" s="139"/>
      <c r="G140" s="172" t="s">
        <v>57</v>
      </c>
      <c r="H140" s="251">
        <v>3</v>
      </c>
    </row>
    <row r="141" spans="2:11" s="142" customFormat="1" x14ac:dyDescent="0.25">
      <c r="B141" s="114" t="s">
        <v>23</v>
      </c>
      <c r="C141" s="119"/>
      <c r="D141" s="119">
        <v>7</v>
      </c>
      <c r="E141" s="66">
        <f t="shared" si="26"/>
        <v>7</v>
      </c>
      <c r="F141" s="139"/>
      <c r="G141" s="172" t="s">
        <v>168</v>
      </c>
      <c r="H141" s="251">
        <v>4</v>
      </c>
    </row>
    <row r="142" spans="2:11" s="142" customFormat="1" x14ac:dyDescent="0.25">
      <c r="B142" s="114" t="s">
        <v>24</v>
      </c>
      <c r="C142" s="119">
        <v>3</v>
      </c>
      <c r="D142" s="119">
        <v>2</v>
      </c>
      <c r="E142" s="66">
        <f t="shared" si="26"/>
        <v>5</v>
      </c>
      <c r="F142" s="139"/>
      <c r="G142" s="172" t="s">
        <v>170</v>
      </c>
      <c r="H142" s="251">
        <v>1</v>
      </c>
    </row>
    <row r="143" spans="2:11" s="142" customFormat="1" x14ac:dyDescent="0.25">
      <c r="B143" s="114" t="s">
        <v>25</v>
      </c>
      <c r="C143" s="119">
        <v>1</v>
      </c>
      <c r="D143" s="119">
        <v>2</v>
      </c>
      <c r="E143" s="66">
        <f t="shared" si="26"/>
        <v>3</v>
      </c>
      <c r="F143" s="139"/>
      <c r="G143" s="172" t="s">
        <v>171</v>
      </c>
      <c r="H143" s="251">
        <v>5</v>
      </c>
    </row>
    <row r="144" spans="2:11" s="142" customFormat="1" x14ac:dyDescent="0.25">
      <c r="B144" s="114" t="s">
        <v>26</v>
      </c>
      <c r="C144" s="119">
        <v>2</v>
      </c>
      <c r="D144" s="119">
        <v>4</v>
      </c>
      <c r="E144" s="66">
        <f t="shared" si="26"/>
        <v>6</v>
      </c>
      <c r="F144" s="139"/>
      <c r="G144" s="172" t="s">
        <v>58</v>
      </c>
      <c r="H144" s="251">
        <v>2</v>
      </c>
    </row>
    <row r="145" spans="2:11" s="142" customFormat="1" ht="15.75" thickBot="1" x14ac:dyDescent="0.3">
      <c r="B145" s="114" t="s">
        <v>98</v>
      </c>
      <c r="C145" s="67"/>
      <c r="D145" s="67"/>
      <c r="E145" s="68">
        <f t="shared" si="26"/>
        <v>0</v>
      </c>
      <c r="F145" s="139"/>
      <c r="G145" s="176" t="s">
        <v>63</v>
      </c>
      <c r="H145" s="252">
        <v>0</v>
      </c>
      <c r="I145" s="139"/>
    </row>
    <row r="146" spans="2:11" s="142" customFormat="1" ht="15.75" thickBot="1" x14ac:dyDescent="0.3">
      <c r="B146" s="123" t="s">
        <v>14</v>
      </c>
      <c r="C146" s="73">
        <f>SUM(C128:C145)</f>
        <v>73</v>
      </c>
      <c r="D146" s="73">
        <f>SUM(D128:D145)</f>
        <v>97</v>
      </c>
      <c r="E146" s="244">
        <f>SUM(E128:E145)</f>
        <v>170</v>
      </c>
      <c r="F146" s="139"/>
      <c r="G146" s="139"/>
      <c r="H146" s="139"/>
    </row>
    <row r="148" spans="2:11" s="47" customFormat="1" ht="20.25" customHeight="1" thickBot="1" x14ac:dyDescent="0.3">
      <c r="B148" s="135" t="s">
        <v>138</v>
      </c>
      <c r="E148" s="174"/>
      <c r="F148" s="174"/>
      <c r="G148" s="58"/>
    </row>
    <row r="149" spans="2:11" s="142" customFormat="1" ht="28.5" customHeight="1" thickBot="1" x14ac:dyDescent="0.3">
      <c r="B149" s="271" t="s">
        <v>45</v>
      </c>
      <c r="C149" s="273" t="s">
        <v>130</v>
      </c>
      <c r="D149" s="274"/>
      <c r="E149" s="275"/>
      <c r="F149" s="139"/>
      <c r="G149" s="271" t="s">
        <v>45</v>
      </c>
      <c r="H149" s="273" t="s">
        <v>130</v>
      </c>
      <c r="I149" s="274"/>
      <c r="J149" s="275"/>
    </row>
    <row r="150" spans="2:11" s="142" customFormat="1" ht="15.75" thickBot="1" x14ac:dyDescent="0.3">
      <c r="B150" s="272"/>
      <c r="C150" s="145" t="s">
        <v>2</v>
      </c>
      <c r="D150" s="146" t="s">
        <v>3</v>
      </c>
      <c r="E150" s="147" t="s">
        <v>4</v>
      </c>
      <c r="F150" s="139"/>
      <c r="G150" s="272"/>
      <c r="H150" s="145" t="s">
        <v>2</v>
      </c>
      <c r="I150" s="146" t="s">
        <v>3</v>
      </c>
      <c r="J150" s="147" t="s">
        <v>4</v>
      </c>
    </row>
    <row r="151" spans="2:11" s="142" customFormat="1" x14ac:dyDescent="0.25">
      <c r="B151" s="114" t="s">
        <v>5</v>
      </c>
      <c r="C151" s="115">
        <v>7</v>
      </c>
      <c r="D151" s="115">
        <v>4</v>
      </c>
      <c r="E151" s="64">
        <f t="shared" ref="E151:E156" si="27">SUM(C151:D151)</f>
        <v>11</v>
      </c>
      <c r="F151" s="148"/>
      <c r="G151" s="117" t="s">
        <v>6</v>
      </c>
      <c r="H151" s="57">
        <f>SUM(C151:C152)</f>
        <v>9</v>
      </c>
      <c r="I151" s="69">
        <f>SUM(D151:D152)</f>
        <v>10</v>
      </c>
      <c r="J151" s="69">
        <f t="shared" ref="J151:J154" si="28">SUM(H151:I151)</f>
        <v>19</v>
      </c>
      <c r="K151" s="175"/>
    </row>
    <row r="152" spans="2:11" s="142" customFormat="1" x14ac:dyDescent="0.25">
      <c r="B152" s="118" t="s">
        <v>7</v>
      </c>
      <c r="C152" s="119">
        <v>2</v>
      </c>
      <c r="D152" s="119">
        <v>6</v>
      </c>
      <c r="E152" s="66">
        <f t="shared" si="27"/>
        <v>8</v>
      </c>
      <c r="F152" s="139"/>
      <c r="G152" s="120" t="s">
        <v>8</v>
      </c>
      <c r="H152" s="57">
        <f>SUM(C153:C154)</f>
        <v>13</v>
      </c>
      <c r="I152" s="70">
        <f>SUM(D153:D154)</f>
        <v>8</v>
      </c>
      <c r="J152" s="70">
        <f t="shared" si="28"/>
        <v>21</v>
      </c>
    </row>
    <row r="153" spans="2:11" s="142" customFormat="1" x14ac:dyDescent="0.25">
      <c r="B153" s="114" t="s">
        <v>59</v>
      </c>
      <c r="C153" s="119">
        <v>9</v>
      </c>
      <c r="D153" s="119">
        <v>2</v>
      </c>
      <c r="E153" s="66">
        <f t="shared" si="27"/>
        <v>11</v>
      </c>
      <c r="F153" s="139"/>
      <c r="G153" s="120" t="s">
        <v>10</v>
      </c>
      <c r="H153" s="57">
        <f>SUM(C155:C163)</f>
        <v>38</v>
      </c>
      <c r="I153" s="70">
        <f>SUM(D155:D163)</f>
        <v>47</v>
      </c>
      <c r="J153" s="70">
        <f t="shared" si="28"/>
        <v>85</v>
      </c>
    </row>
    <row r="154" spans="2:11" s="142" customFormat="1" ht="15.75" thickBot="1" x14ac:dyDescent="0.3">
      <c r="B154" s="114" t="s">
        <v>11</v>
      </c>
      <c r="C154" s="119">
        <v>4</v>
      </c>
      <c r="D154" s="119">
        <v>6</v>
      </c>
      <c r="E154" s="66">
        <f t="shared" si="27"/>
        <v>10</v>
      </c>
      <c r="F154" s="139"/>
      <c r="G154" s="120" t="s">
        <v>12</v>
      </c>
      <c r="H154" s="57">
        <f>SUM(C164:C167)</f>
        <v>5</v>
      </c>
      <c r="I154" s="70">
        <f>SUM(D164:D167)</f>
        <v>5</v>
      </c>
      <c r="J154" s="70">
        <f t="shared" si="28"/>
        <v>10</v>
      </c>
    </row>
    <row r="155" spans="2:11" s="142" customFormat="1" ht="15.75" thickBot="1" x14ac:dyDescent="0.3">
      <c r="B155" s="114" t="s">
        <v>13</v>
      </c>
      <c r="C155" s="119">
        <v>4</v>
      </c>
      <c r="D155" s="119">
        <v>9</v>
      </c>
      <c r="E155" s="66">
        <f t="shared" si="27"/>
        <v>13</v>
      </c>
      <c r="F155" s="139"/>
      <c r="G155" s="121" t="s">
        <v>14</v>
      </c>
      <c r="H155" s="72">
        <f>SUM(H151:H154)</f>
        <v>65</v>
      </c>
      <c r="I155" s="72">
        <f t="shared" ref="I155" si="29">SUM(I151:I154)</f>
        <v>70</v>
      </c>
      <c r="J155" s="72">
        <f t="shared" ref="J155" si="30">SUM(J151:J154)</f>
        <v>135</v>
      </c>
    </row>
    <row r="156" spans="2:11" s="142" customFormat="1" ht="15.75" thickBot="1" x14ac:dyDescent="0.3">
      <c r="B156" s="114" t="s">
        <v>15</v>
      </c>
      <c r="C156" s="119">
        <v>3</v>
      </c>
      <c r="D156" s="119">
        <v>3</v>
      </c>
      <c r="E156" s="66">
        <f t="shared" si="27"/>
        <v>6</v>
      </c>
      <c r="F156" s="139"/>
      <c r="K156" s="175"/>
    </row>
    <row r="157" spans="2:11" s="142" customFormat="1" x14ac:dyDescent="0.25">
      <c r="B157" s="114" t="s">
        <v>16</v>
      </c>
      <c r="C157" s="119">
        <v>4</v>
      </c>
      <c r="D157" s="119">
        <v>2</v>
      </c>
      <c r="E157" s="66">
        <f>SUM(C157:D157)</f>
        <v>6</v>
      </c>
      <c r="F157" s="139"/>
      <c r="G157" s="171" t="s">
        <v>150</v>
      </c>
      <c r="H157" s="250">
        <v>1</v>
      </c>
      <c r="I157" s="262" t="s">
        <v>60</v>
      </c>
      <c r="J157" s="69">
        <f>SUM(C155:C159)</f>
        <v>20</v>
      </c>
    </row>
    <row r="158" spans="2:11" s="142" customFormat="1" ht="15.75" thickBot="1" x14ac:dyDescent="0.3">
      <c r="B158" s="114" t="s">
        <v>17</v>
      </c>
      <c r="C158" s="119">
        <v>6</v>
      </c>
      <c r="D158" s="119">
        <v>7</v>
      </c>
      <c r="E158" s="66">
        <f t="shared" ref="E158:E168" si="31">SUM(C158:D158)</f>
        <v>13</v>
      </c>
      <c r="F158" s="139"/>
      <c r="G158" s="172" t="s">
        <v>151</v>
      </c>
      <c r="H158" s="251">
        <v>3</v>
      </c>
      <c r="I158" s="263" t="s">
        <v>61</v>
      </c>
      <c r="J158" s="51">
        <f>SUM(D160:D163)</f>
        <v>17</v>
      </c>
    </row>
    <row r="159" spans="2:11" s="142" customFormat="1" ht="15.75" thickBot="1" x14ac:dyDescent="0.3">
      <c r="B159" s="114" t="s">
        <v>18</v>
      </c>
      <c r="C159" s="119">
        <v>3</v>
      </c>
      <c r="D159" s="119">
        <v>9</v>
      </c>
      <c r="E159" s="66">
        <f t="shared" si="31"/>
        <v>12</v>
      </c>
      <c r="F159" s="139"/>
      <c r="G159" s="172" t="s">
        <v>152</v>
      </c>
      <c r="H159" s="251">
        <v>3</v>
      </c>
      <c r="I159" s="104"/>
      <c r="J159" s="94"/>
    </row>
    <row r="160" spans="2:11" s="142" customFormat="1" x14ac:dyDescent="0.25">
      <c r="B160" s="114" t="s">
        <v>19</v>
      </c>
      <c r="C160" s="119">
        <v>4</v>
      </c>
      <c r="D160" s="119">
        <v>5</v>
      </c>
      <c r="E160" s="66">
        <f t="shared" si="31"/>
        <v>9</v>
      </c>
      <c r="F160" s="139"/>
      <c r="G160" s="172" t="s">
        <v>89</v>
      </c>
      <c r="H160" s="251">
        <v>2</v>
      </c>
      <c r="I160" s="171" t="s">
        <v>153</v>
      </c>
      <c r="J160" s="198">
        <f>+H164+H165+H166+E153+E154</f>
        <v>23</v>
      </c>
    </row>
    <row r="161" spans="2:11" s="142" customFormat="1" ht="15.75" thickBot="1" x14ac:dyDescent="0.3">
      <c r="B161" s="114" t="s">
        <v>20</v>
      </c>
      <c r="C161" s="119">
        <v>8</v>
      </c>
      <c r="D161" s="119">
        <v>5</v>
      </c>
      <c r="E161" s="66">
        <f t="shared" si="31"/>
        <v>13</v>
      </c>
      <c r="F161" s="139"/>
      <c r="G161" s="172" t="s">
        <v>90</v>
      </c>
      <c r="H161" s="251">
        <v>2</v>
      </c>
      <c r="I161" s="176" t="s">
        <v>64</v>
      </c>
      <c r="J161" s="199">
        <f>SUM(E151:E154)</f>
        <v>40</v>
      </c>
    </row>
    <row r="162" spans="2:11" s="142" customFormat="1" x14ac:dyDescent="0.25">
      <c r="B162" s="114" t="s">
        <v>21</v>
      </c>
      <c r="C162" s="119">
        <v>3</v>
      </c>
      <c r="D162" s="119">
        <v>5</v>
      </c>
      <c r="E162" s="66">
        <f t="shared" si="31"/>
        <v>8</v>
      </c>
      <c r="F162" s="139"/>
      <c r="G162" s="172" t="s">
        <v>169</v>
      </c>
      <c r="H162" s="251">
        <v>3</v>
      </c>
    </row>
    <row r="163" spans="2:11" s="142" customFormat="1" x14ac:dyDescent="0.25">
      <c r="B163" s="114" t="s">
        <v>22</v>
      </c>
      <c r="C163" s="119">
        <v>3</v>
      </c>
      <c r="D163" s="119">
        <v>2</v>
      </c>
      <c r="E163" s="66">
        <f t="shared" si="31"/>
        <v>5</v>
      </c>
      <c r="F163" s="139"/>
      <c r="G163" s="172" t="s">
        <v>57</v>
      </c>
      <c r="H163" s="251">
        <v>3</v>
      </c>
    </row>
    <row r="164" spans="2:11" s="142" customFormat="1" x14ac:dyDescent="0.25">
      <c r="B164" s="114" t="s">
        <v>23</v>
      </c>
      <c r="C164" s="119">
        <v>1</v>
      </c>
      <c r="D164" s="119">
        <v>1</v>
      </c>
      <c r="E164" s="66">
        <f t="shared" si="31"/>
        <v>2</v>
      </c>
      <c r="F164" s="139"/>
      <c r="G164" s="172" t="s">
        <v>168</v>
      </c>
      <c r="H164" s="251">
        <v>0</v>
      </c>
    </row>
    <row r="165" spans="2:11" s="142" customFormat="1" x14ac:dyDescent="0.25">
      <c r="B165" s="114" t="s">
        <v>24</v>
      </c>
      <c r="C165" s="119"/>
      <c r="D165" s="119">
        <v>2</v>
      </c>
      <c r="E165" s="66">
        <f t="shared" si="31"/>
        <v>2</v>
      </c>
      <c r="F165" s="139"/>
      <c r="G165" s="172" t="s">
        <v>170</v>
      </c>
      <c r="H165" s="251">
        <v>2</v>
      </c>
    </row>
    <row r="166" spans="2:11" s="142" customFormat="1" x14ac:dyDescent="0.25">
      <c r="B166" s="114" t="s">
        <v>25</v>
      </c>
      <c r="C166" s="119">
        <v>2</v>
      </c>
      <c r="D166" s="119"/>
      <c r="E166" s="66">
        <f t="shared" si="31"/>
        <v>2</v>
      </c>
      <c r="F166" s="139"/>
      <c r="G166" s="172" t="s">
        <v>171</v>
      </c>
      <c r="H166" s="251">
        <v>0</v>
      </c>
    </row>
    <row r="167" spans="2:11" s="142" customFormat="1" x14ac:dyDescent="0.25">
      <c r="B167" s="114" t="s">
        <v>26</v>
      </c>
      <c r="C167" s="119">
        <v>2</v>
      </c>
      <c r="D167" s="119">
        <v>2</v>
      </c>
      <c r="E167" s="66">
        <f t="shared" si="31"/>
        <v>4</v>
      </c>
      <c r="F167" s="139"/>
      <c r="G167" s="172" t="s">
        <v>58</v>
      </c>
      <c r="H167" s="251">
        <v>4</v>
      </c>
    </row>
    <row r="168" spans="2:11" s="142" customFormat="1" ht="15.75" thickBot="1" x14ac:dyDescent="0.3">
      <c r="B168" s="114" t="s">
        <v>98</v>
      </c>
      <c r="C168" s="67"/>
      <c r="D168" s="67"/>
      <c r="E168" s="68">
        <f t="shared" si="31"/>
        <v>0</v>
      </c>
      <c r="F168" s="139"/>
      <c r="G168" s="176" t="s">
        <v>63</v>
      </c>
      <c r="H168" s="252">
        <v>0</v>
      </c>
      <c r="I168" s="139"/>
    </row>
    <row r="169" spans="2:11" s="142" customFormat="1" ht="15.75" thickBot="1" x14ac:dyDescent="0.3">
      <c r="B169" s="123" t="s">
        <v>14</v>
      </c>
      <c r="C169" s="73">
        <f>SUM(C151:C168)</f>
        <v>65</v>
      </c>
      <c r="D169" s="73">
        <f>SUM(D151:D168)</f>
        <v>70</v>
      </c>
      <c r="E169" s="244">
        <f>SUM(E151:E168)</f>
        <v>135</v>
      </c>
      <c r="F169" s="139"/>
      <c r="G169" s="139"/>
      <c r="H169" s="139"/>
      <c r="I169" s="139"/>
    </row>
    <row r="171" spans="2:11" s="47" customFormat="1" ht="20.25" customHeight="1" thickBot="1" x14ac:dyDescent="0.3">
      <c r="B171" s="135" t="s">
        <v>137</v>
      </c>
      <c r="E171" s="174"/>
      <c r="F171" s="174"/>
      <c r="G171" s="58"/>
    </row>
    <row r="172" spans="2:11" s="142" customFormat="1" ht="28.5" customHeight="1" thickBot="1" x14ac:dyDescent="0.3">
      <c r="B172" s="271" t="s">
        <v>45</v>
      </c>
      <c r="C172" s="273" t="s">
        <v>131</v>
      </c>
      <c r="D172" s="274"/>
      <c r="E172" s="275"/>
      <c r="F172" s="139"/>
      <c r="G172" s="271" t="s">
        <v>45</v>
      </c>
      <c r="H172" s="273" t="s">
        <v>131</v>
      </c>
      <c r="I172" s="274"/>
      <c r="J172" s="275"/>
    </row>
    <row r="173" spans="2:11" s="142" customFormat="1" ht="15.75" thickBot="1" x14ac:dyDescent="0.3">
      <c r="B173" s="272"/>
      <c r="C173" s="145" t="s">
        <v>2</v>
      </c>
      <c r="D173" s="146" t="s">
        <v>3</v>
      </c>
      <c r="E173" s="147" t="s">
        <v>4</v>
      </c>
      <c r="F173" s="139"/>
      <c r="G173" s="272"/>
      <c r="H173" s="145" t="s">
        <v>2</v>
      </c>
      <c r="I173" s="146" t="s">
        <v>3</v>
      </c>
      <c r="J173" s="147" t="s">
        <v>4</v>
      </c>
    </row>
    <row r="174" spans="2:11" s="142" customFormat="1" x14ac:dyDescent="0.25">
      <c r="B174" s="114" t="s">
        <v>5</v>
      </c>
      <c r="C174" s="115">
        <v>2</v>
      </c>
      <c r="D174" s="115">
        <v>7</v>
      </c>
      <c r="E174" s="64">
        <f t="shared" ref="E174:E179" si="32">SUM(C174:D174)</f>
        <v>9</v>
      </c>
      <c r="F174" s="148"/>
      <c r="G174" s="117" t="s">
        <v>6</v>
      </c>
      <c r="H174" s="57">
        <f>SUM(C174:C175)</f>
        <v>7</v>
      </c>
      <c r="I174" s="69">
        <f>SUM(D174:D175)</f>
        <v>16</v>
      </c>
      <c r="J174" s="69">
        <f t="shared" ref="J174:J177" si="33">SUM(H174:I174)</f>
        <v>23</v>
      </c>
      <c r="K174" s="175"/>
    </row>
    <row r="175" spans="2:11" s="142" customFormat="1" x14ac:dyDescent="0.25">
      <c r="B175" s="118" t="s">
        <v>7</v>
      </c>
      <c r="C175" s="119">
        <v>5</v>
      </c>
      <c r="D175" s="119">
        <v>9</v>
      </c>
      <c r="E175" s="66">
        <f t="shared" si="32"/>
        <v>14</v>
      </c>
      <c r="F175" s="139"/>
      <c r="G175" s="120" t="s">
        <v>8</v>
      </c>
      <c r="H175" s="57">
        <f>SUM(C176:C177)</f>
        <v>9</v>
      </c>
      <c r="I175" s="70">
        <f>SUM(D176:D177)</f>
        <v>6</v>
      </c>
      <c r="J175" s="70">
        <f t="shared" si="33"/>
        <v>15</v>
      </c>
    </row>
    <row r="176" spans="2:11" s="142" customFormat="1" x14ac:dyDescent="0.25">
      <c r="B176" s="114" t="s">
        <v>59</v>
      </c>
      <c r="C176" s="119">
        <v>5</v>
      </c>
      <c r="D176" s="119">
        <v>5</v>
      </c>
      <c r="E176" s="66">
        <f t="shared" si="32"/>
        <v>10</v>
      </c>
      <c r="F176" s="139"/>
      <c r="G176" s="120" t="s">
        <v>10</v>
      </c>
      <c r="H176" s="57">
        <f>SUM(C178:C186)</f>
        <v>28</v>
      </c>
      <c r="I176" s="70">
        <f>SUM(D178:D186)</f>
        <v>33</v>
      </c>
      <c r="J176" s="70">
        <f t="shared" si="33"/>
        <v>61</v>
      </c>
    </row>
    <row r="177" spans="2:11" s="142" customFormat="1" ht="15.75" thickBot="1" x14ac:dyDescent="0.3">
      <c r="B177" s="114" t="s">
        <v>11</v>
      </c>
      <c r="C177" s="119">
        <v>4</v>
      </c>
      <c r="D177" s="119">
        <v>1</v>
      </c>
      <c r="E177" s="66">
        <f t="shared" si="32"/>
        <v>5</v>
      </c>
      <c r="F177" s="139"/>
      <c r="G177" s="120" t="s">
        <v>12</v>
      </c>
      <c r="H177" s="57">
        <f>SUM(C187:C190)</f>
        <v>5</v>
      </c>
      <c r="I177" s="70">
        <f>SUM(D187:D190)</f>
        <v>9</v>
      </c>
      <c r="J177" s="70">
        <f t="shared" si="33"/>
        <v>14</v>
      </c>
    </row>
    <row r="178" spans="2:11" s="142" customFormat="1" ht="15.75" thickBot="1" x14ac:dyDescent="0.3">
      <c r="B178" s="114" t="s">
        <v>13</v>
      </c>
      <c r="C178" s="119">
        <v>4</v>
      </c>
      <c r="D178" s="119">
        <v>4</v>
      </c>
      <c r="E178" s="66">
        <f t="shared" si="32"/>
        <v>8</v>
      </c>
      <c r="F178" s="139"/>
      <c r="G178" s="121" t="s">
        <v>14</v>
      </c>
      <c r="H178" s="72">
        <f>SUM(H174:H177)</f>
        <v>49</v>
      </c>
      <c r="I178" s="72">
        <f t="shared" ref="I178" si="34">SUM(I174:I177)</f>
        <v>64</v>
      </c>
      <c r="J178" s="72">
        <f t="shared" ref="J178" si="35">SUM(J174:J177)</f>
        <v>113</v>
      </c>
    </row>
    <row r="179" spans="2:11" s="142" customFormat="1" ht="15.75" thickBot="1" x14ac:dyDescent="0.3">
      <c r="B179" s="114" t="s">
        <v>15</v>
      </c>
      <c r="C179" s="119"/>
      <c r="D179" s="119">
        <v>8</v>
      </c>
      <c r="E179" s="66">
        <f t="shared" si="32"/>
        <v>8</v>
      </c>
      <c r="F179" s="139"/>
      <c r="K179" s="175"/>
    </row>
    <row r="180" spans="2:11" s="142" customFormat="1" x14ac:dyDescent="0.25">
      <c r="B180" s="114" t="s">
        <v>16</v>
      </c>
      <c r="C180" s="119">
        <v>3</v>
      </c>
      <c r="D180" s="119">
        <v>5</v>
      </c>
      <c r="E180" s="66">
        <f>SUM(C180:D180)</f>
        <v>8</v>
      </c>
      <c r="F180" s="139"/>
      <c r="G180" s="171" t="s">
        <v>150</v>
      </c>
      <c r="H180" s="250">
        <v>3</v>
      </c>
      <c r="I180" s="262" t="s">
        <v>60</v>
      </c>
      <c r="J180" s="69">
        <f>SUM(C178:C182)</f>
        <v>15</v>
      </c>
    </row>
    <row r="181" spans="2:11" s="142" customFormat="1" ht="15.75" thickBot="1" x14ac:dyDescent="0.3">
      <c r="B181" s="114" t="s">
        <v>17</v>
      </c>
      <c r="C181" s="119">
        <v>2</v>
      </c>
      <c r="D181" s="119">
        <v>3</v>
      </c>
      <c r="E181" s="66">
        <f t="shared" ref="E181:E191" si="36">SUM(C181:D181)</f>
        <v>5</v>
      </c>
      <c r="F181" s="139"/>
      <c r="G181" s="172" t="s">
        <v>151</v>
      </c>
      <c r="H181" s="251">
        <v>1</v>
      </c>
      <c r="I181" s="263" t="s">
        <v>61</v>
      </c>
      <c r="J181" s="51">
        <f>SUM(D183:D186)</f>
        <v>9</v>
      </c>
    </row>
    <row r="182" spans="2:11" s="142" customFormat="1" ht="15.75" thickBot="1" x14ac:dyDescent="0.3">
      <c r="B182" s="114" t="s">
        <v>18</v>
      </c>
      <c r="C182" s="119">
        <v>6</v>
      </c>
      <c r="D182" s="119">
        <v>4</v>
      </c>
      <c r="E182" s="66">
        <f t="shared" si="36"/>
        <v>10</v>
      </c>
      <c r="F182" s="139"/>
      <c r="G182" s="172" t="s">
        <v>152</v>
      </c>
      <c r="H182" s="251">
        <v>3</v>
      </c>
      <c r="I182" s="104"/>
      <c r="J182" s="94"/>
    </row>
    <row r="183" spans="2:11" s="142" customFormat="1" x14ac:dyDescent="0.25">
      <c r="B183" s="114" t="s">
        <v>19</v>
      </c>
      <c r="C183" s="119">
        <v>1</v>
      </c>
      <c r="D183" s="119">
        <v>2</v>
      </c>
      <c r="E183" s="66">
        <f t="shared" si="36"/>
        <v>3</v>
      </c>
      <c r="F183" s="139"/>
      <c r="G183" s="172" t="s">
        <v>89</v>
      </c>
      <c r="H183" s="251">
        <v>2</v>
      </c>
      <c r="I183" s="171" t="s">
        <v>153</v>
      </c>
      <c r="J183" s="198">
        <f>+H187+H188+H189+E176+E177</f>
        <v>22</v>
      </c>
    </row>
    <row r="184" spans="2:11" s="142" customFormat="1" ht="15.75" thickBot="1" x14ac:dyDescent="0.3">
      <c r="B184" s="114" t="s">
        <v>20</v>
      </c>
      <c r="C184" s="119">
        <v>3</v>
      </c>
      <c r="D184" s="119">
        <v>3</v>
      </c>
      <c r="E184" s="66">
        <f t="shared" si="36"/>
        <v>6</v>
      </c>
      <c r="F184" s="139"/>
      <c r="G184" s="172" t="s">
        <v>90</v>
      </c>
      <c r="H184" s="251">
        <v>0</v>
      </c>
      <c r="I184" s="176" t="s">
        <v>64</v>
      </c>
      <c r="J184" s="199">
        <f>SUM(E174:E177)</f>
        <v>38</v>
      </c>
    </row>
    <row r="185" spans="2:11" s="142" customFormat="1" x14ac:dyDescent="0.25">
      <c r="B185" s="114" t="s">
        <v>21</v>
      </c>
      <c r="C185" s="119">
        <v>4</v>
      </c>
      <c r="D185" s="119">
        <v>4</v>
      </c>
      <c r="E185" s="66">
        <f t="shared" si="36"/>
        <v>8</v>
      </c>
      <c r="F185" s="139"/>
      <c r="G185" s="172" t="s">
        <v>169</v>
      </c>
      <c r="H185" s="251">
        <v>5</v>
      </c>
    </row>
    <row r="186" spans="2:11" s="142" customFormat="1" x14ac:dyDescent="0.25">
      <c r="B186" s="114" t="s">
        <v>22</v>
      </c>
      <c r="C186" s="119">
        <v>5</v>
      </c>
      <c r="D186" s="119"/>
      <c r="E186" s="66">
        <f t="shared" si="36"/>
        <v>5</v>
      </c>
      <c r="F186" s="139"/>
      <c r="G186" s="172" t="s">
        <v>57</v>
      </c>
      <c r="H186" s="251">
        <v>2</v>
      </c>
    </row>
    <row r="187" spans="2:11" s="142" customFormat="1" x14ac:dyDescent="0.25">
      <c r="B187" s="114" t="s">
        <v>23</v>
      </c>
      <c r="C187" s="119">
        <v>1</v>
      </c>
      <c r="D187" s="119">
        <v>1</v>
      </c>
      <c r="E187" s="66">
        <f t="shared" si="36"/>
        <v>2</v>
      </c>
      <c r="F187" s="139"/>
      <c r="G187" s="172" t="s">
        <v>168</v>
      </c>
      <c r="H187" s="251">
        <v>2</v>
      </c>
    </row>
    <row r="188" spans="2:11" s="142" customFormat="1" x14ac:dyDescent="0.25">
      <c r="B188" s="114" t="s">
        <v>24</v>
      </c>
      <c r="C188" s="119">
        <v>3</v>
      </c>
      <c r="D188" s="119">
        <v>2</v>
      </c>
      <c r="E188" s="66">
        <f t="shared" si="36"/>
        <v>5</v>
      </c>
      <c r="F188" s="139"/>
      <c r="G188" s="172" t="s">
        <v>170</v>
      </c>
      <c r="H188" s="251">
        <v>1</v>
      </c>
    </row>
    <row r="189" spans="2:11" s="142" customFormat="1" x14ac:dyDescent="0.25">
      <c r="B189" s="114" t="s">
        <v>25</v>
      </c>
      <c r="C189" s="119">
        <v>1</v>
      </c>
      <c r="D189" s="119">
        <v>2</v>
      </c>
      <c r="E189" s="66">
        <f t="shared" si="36"/>
        <v>3</v>
      </c>
      <c r="F189" s="139"/>
      <c r="G189" s="172" t="s">
        <v>171</v>
      </c>
      <c r="H189" s="251">
        <v>4</v>
      </c>
    </row>
    <row r="190" spans="2:11" s="142" customFormat="1" x14ac:dyDescent="0.25">
      <c r="B190" s="114" t="s">
        <v>26</v>
      </c>
      <c r="C190" s="119"/>
      <c r="D190" s="119">
        <v>4</v>
      </c>
      <c r="E190" s="66">
        <f t="shared" si="36"/>
        <v>4</v>
      </c>
      <c r="F190" s="139"/>
      <c r="G190" s="172" t="s">
        <v>58</v>
      </c>
      <c r="H190" s="251">
        <v>1</v>
      </c>
    </row>
    <row r="191" spans="2:11" s="142" customFormat="1" ht="15.75" thickBot="1" x14ac:dyDescent="0.3">
      <c r="B191" s="114" t="s">
        <v>98</v>
      </c>
      <c r="C191" s="67"/>
      <c r="D191" s="67"/>
      <c r="E191" s="68">
        <f t="shared" si="36"/>
        <v>0</v>
      </c>
      <c r="F191" s="139"/>
      <c r="G191" s="176" t="s">
        <v>63</v>
      </c>
      <c r="H191" s="252">
        <v>3</v>
      </c>
      <c r="I191" s="139"/>
    </row>
    <row r="192" spans="2:11" s="142" customFormat="1" ht="15.75" thickBot="1" x14ac:dyDescent="0.3">
      <c r="B192" s="123" t="s">
        <v>14</v>
      </c>
      <c r="C192" s="73">
        <f>SUM(C174:C191)</f>
        <v>49</v>
      </c>
      <c r="D192" s="73">
        <f>SUM(D174:D191)</f>
        <v>64</v>
      </c>
      <c r="E192" s="73">
        <f>SUM(E174:E191)</f>
        <v>113</v>
      </c>
      <c r="F192" s="139"/>
      <c r="G192" s="139"/>
      <c r="H192" s="139"/>
    </row>
  </sheetData>
  <mergeCells count="35">
    <mergeCell ref="B149:B150"/>
    <mergeCell ref="C149:E149"/>
    <mergeCell ref="G149:G150"/>
    <mergeCell ref="H149:J149"/>
    <mergeCell ref="B172:B173"/>
    <mergeCell ref="C172:E172"/>
    <mergeCell ref="G172:G173"/>
    <mergeCell ref="H172:J172"/>
    <mergeCell ref="B103:B104"/>
    <mergeCell ref="C103:E103"/>
    <mergeCell ref="G103:G104"/>
    <mergeCell ref="H103:J103"/>
    <mergeCell ref="B126:B127"/>
    <mergeCell ref="C126:E126"/>
    <mergeCell ref="G126:G127"/>
    <mergeCell ref="H126:J126"/>
    <mergeCell ref="B57:B58"/>
    <mergeCell ref="C57:E57"/>
    <mergeCell ref="G57:G58"/>
    <mergeCell ref="H57:J57"/>
    <mergeCell ref="B80:B81"/>
    <mergeCell ref="C80:E80"/>
    <mergeCell ref="G80:G81"/>
    <mergeCell ref="H80:J80"/>
    <mergeCell ref="G32:G33"/>
    <mergeCell ref="B1:J1"/>
    <mergeCell ref="H32:J32"/>
    <mergeCell ref="B7:B8"/>
    <mergeCell ref="C7:E7"/>
    <mergeCell ref="C32:E32"/>
    <mergeCell ref="G7:G8"/>
    <mergeCell ref="H7:J7"/>
    <mergeCell ref="B2:J2"/>
    <mergeCell ref="G4:J5"/>
    <mergeCell ref="B32:B33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2" manualBreakCount="2">
    <brk id="78" max="16383" man="1"/>
    <brk id="147" max="16383" man="1"/>
  </rowBreaks>
  <ignoredErrors>
    <ignoredError sqref="H35:I37 H10:I12 H34:I34 H9:I9 H151:I154 H174:I177 H128:I131 H105:I108 H82:I85 H59:I62 J134:J135 J180:J181 J157:J158 J111:J112 J88:J89 J65:J66 J40:J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3"/>
  <sheetViews>
    <sheetView zoomScaleNormal="100" workbookViewId="0">
      <pane ySplit="5" topLeftCell="A6" activePane="bottomLeft" state="frozen"/>
      <selection activeCell="B2" sqref="B2:T2"/>
      <selection pane="bottomLeft" activeCell="I23" sqref="I23"/>
    </sheetView>
  </sheetViews>
  <sheetFormatPr baseColWidth="10" defaultRowHeight="15" x14ac:dyDescent="0.25"/>
  <cols>
    <col min="1" max="1" width="0.85546875" style="86" customWidth="1"/>
    <col min="2" max="2" width="16.28515625" style="86" customWidth="1"/>
    <col min="3" max="6" width="11.42578125" style="86"/>
    <col min="7" max="7" width="17.5703125" style="86" customWidth="1"/>
    <col min="8" max="8" width="11.42578125" style="86"/>
    <col min="9" max="9" width="15.85546875" style="86" customWidth="1"/>
    <col min="10" max="16384" width="11.42578125" style="86"/>
  </cols>
  <sheetData>
    <row r="1" spans="2:12" s="106" customFormat="1" ht="19.5" customHeight="1" x14ac:dyDescent="0.25">
      <c r="B1" s="277" t="str">
        <f>+OSORNO!B1</f>
        <v>POBLACIÓN INSCRITA VALIDADA POR FONASA AÑO 2020 SEGÚN SEXO Y EDAD</v>
      </c>
      <c r="C1" s="277"/>
      <c r="D1" s="277"/>
      <c r="E1" s="277"/>
      <c r="F1" s="277"/>
      <c r="G1" s="277"/>
      <c r="H1" s="277"/>
      <c r="I1" s="277"/>
      <c r="J1" s="277"/>
      <c r="K1" s="173"/>
      <c r="L1" s="173"/>
    </row>
    <row r="2" spans="2:12" s="106" customFormat="1" ht="19.5" customHeight="1" x14ac:dyDescent="0.25">
      <c r="B2" s="284" t="s">
        <v>92</v>
      </c>
      <c r="C2" s="284"/>
      <c r="D2" s="284"/>
      <c r="E2" s="284"/>
      <c r="F2" s="284"/>
      <c r="G2" s="284"/>
      <c r="H2" s="284"/>
      <c r="I2" s="284"/>
      <c r="J2" s="284"/>
    </row>
    <row r="4" spans="2:12" ht="15" customHeight="1" x14ac:dyDescent="0.25">
      <c r="B4" s="134" t="s">
        <v>66</v>
      </c>
      <c r="C4" s="135" t="s">
        <v>27</v>
      </c>
      <c r="G4" s="293" t="s">
        <v>154</v>
      </c>
      <c r="H4" s="293"/>
      <c r="I4" s="293"/>
      <c r="J4" s="293"/>
    </row>
    <row r="5" spans="2:12" x14ac:dyDescent="0.25">
      <c r="B5" s="134" t="s">
        <v>44</v>
      </c>
      <c r="C5" s="137">
        <v>10303</v>
      </c>
      <c r="G5" s="293"/>
      <c r="H5" s="293"/>
      <c r="I5" s="293"/>
      <c r="J5" s="293"/>
    </row>
    <row r="6" spans="2:12" ht="15.75" thickBot="1" x14ac:dyDescent="0.3">
      <c r="B6" s="47" t="s">
        <v>111</v>
      </c>
    </row>
    <row r="7" spans="2:12" ht="27" customHeight="1" thickBot="1" x14ac:dyDescent="0.3">
      <c r="B7" s="278" t="s">
        <v>45</v>
      </c>
      <c r="C7" s="280" t="s">
        <v>81</v>
      </c>
      <c r="D7" s="281"/>
      <c r="E7" s="282"/>
      <c r="F7" s="138"/>
      <c r="G7" s="278" t="s">
        <v>45</v>
      </c>
      <c r="H7" s="280" t="s">
        <v>81</v>
      </c>
      <c r="I7" s="281"/>
      <c r="J7" s="282"/>
    </row>
    <row r="8" spans="2:12" ht="15.75" thickBot="1" x14ac:dyDescent="0.3">
      <c r="B8" s="279"/>
      <c r="C8" s="82" t="s">
        <v>2</v>
      </c>
      <c r="D8" s="83" t="s">
        <v>3</v>
      </c>
      <c r="E8" s="84" t="s">
        <v>4</v>
      </c>
      <c r="F8" s="139"/>
      <c r="G8" s="283"/>
      <c r="H8" s="82" t="s">
        <v>2</v>
      </c>
      <c r="I8" s="83" t="s">
        <v>3</v>
      </c>
      <c r="J8" s="84" t="s">
        <v>4</v>
      </c>
    </row>
    <row r="9" spans="2:12" x14ac:dyDescent="0.25">
      <c r="B9" s="107" t="s">
        <v>5</v>
      </c>
      <c r="C9" s="70">
        <v>663</v>
      </c>
      <c r="D9" s="70">
        <v>652</v>
      </c>
      <c r="E9" s="69">
        <f t="shared" ref="E9:E26" si="0">SUM(C9:D9)</f>
        <v>1315</v>
      </c>
      <c r="F9" s="140"/>
      <c r="G9" s="108" t="s">
        <v>6</v>
      </c>
      <c r="H9" s="76">
        <f>SUM(C9:C10)</f>
        <v>1421</v>
      </c>
      <c r="I9" s="69">
        <f>SUM(D9:D10)</f>
        <v>1295</v>
      </c>
      <c r="J9" s="69">
        <f t="shared" ref="J9:J12" si="1">SUM(H9:I9)</f>
        <v>2716</v>
      </c>
    </row>
    <row r="10" spans="2:12" x14ac:dyDescent="0.25">
      <c r="B10" s="109" t="s">
        <v>7</v>
      </c>
      <c r="C10" s="70">
        <v>758</v>
      </c>
      <c r="D10" s="70">
        <v>643</v>
      </c>
      <c r="E10" s="70">
        <f t="shared" si="0"/>
        <v>1401</v>
      </c>
      <c r="F10" s="139"/>
      <c r="G10" s="110" t="s">
        <v>8</v>
      </c>
      <c r="H10" s="71">
        <f>SUM(C11:C12)</f>
        <v>1502</v>
      </c>
      <c r="I10" s="70">
        <f>SUM(D11:D12)</f>
        <v>1482</v>
      </c>
      <c r="J10" s="70">
        <f t="shared" si="1"/>
        <v>2984</v>
      </c>
    </row>
    <row r="11" spans="2:12" x14ac:dyDescent="0.25">
      <c r="B11" s="107" t="s">
        <v>59</v>
      </c>
      <c r="C11" s="70">
        <v>719</v>
      </c>
      <c r="D11" s="70">
        <v>755</v>
      </c>
      <c r="E11" s="70">
        <f t="shared" si="0"/>
        <v>1474</v>
      </c>
      <c r="F11" s="139"/>
      <c r="G11" s="110" t="s">
        <v>10</v>
      </c>
      <c r="H11" s="71">
        <f>SUM(C13:C21)</f>
        <v>6337</v>
      </c>
      <c r="I11" s="70">
        <f>SUM(D13:D21)</f>
        <v>6629</v>
      </c>
      <c r="J11" s="70">
        <f t="shared" si="1"/>
        <v>12966</v>
      </c>
    </row>
    <row r="12" spans="2:12" ht="15.75" thickBot="1" x14ac:dyDescent="0.3">
      <c r="B12" s="107" t="s">
        <v>11</v>
      </c>
      <c r="C12" s="70">
        <v>783</v>
      </c>
      <c r="D12" s="70">
        <v>727</v>
      </c>
      <c r="E12" s="70">
        <f t="shared" si="0"/>
        <v>1510</v>
      </c>
      <c r="F12" s="139"/>
      <c r="G12" s="110" t="s">
        <v>12</v>
      </c>
      <c r="H12" s="71">
        <f>SUM(C22:C25)</f>
        <v>1473</v>
      </c>
      <c r="I12" s="70">
        <f>SUM(D22:D25)</f>
        <v>1771</v>
      </c>
      <c r="J12" s="70">
        <f t="shared" si="1"/>
        <v>3244</v>
      </c>
    </row>
    <row r="13" spans="2:12" ht="15.75" thickBot="1" x14ac:dyDescent="0.3">
      <c r="B13" s="107" t="s">
        <v>13</v>
      </c>
      <c r="C13" s="70">
        <v>839</v>
      </c>
      <c r="D13" s="70">
        <v>837</v>
      </c>
      <c r="E13" s="70">
        <f t="shared" si="0"/>
        <v>1676</v>
      </c>
      <c r="F13" s="139"/>
      <c r="G13" s="81" t="s">
        <v>14</v>
      </c>
      <c r="H13" s="78">
        <f>SUM(H9:H12)</f>
        <v>10733</v>
      </c>
      <c r="I13" s="78">
        <f t="shared" ref="I13:J13" si="2">SUM(I9:I12)</f>
        <v>11177</v>
      </c>
      <c r="J13" s="74">
        <f t="shared" si="2"/>
        <v>21910</v>
      </c>
    </row>
    <row r="14" spans="2:12" ht="15.75" thickBot="1" x14ac:dyDescent="0.3">
      <c r="B14" s="107" t="s">
        <v>15</v>
      </c>
      <c r="C14" s="70">
        <v>825</v>
      </c>
      <c r="D14" s="70">
        <v>864</v>
      </c>
      <c r="E14" s="70">
        <f t="shared" si="0"/>
        <v>1689</v>
      </c>
      <c r="F14" s="139"/>
      <c r="G14" s="142"/>
      <c r="H14" s="142"/>
      <c r="I14" s="142"/>
      <c r="J14" s="142"/>
    </row>
    <row r="15" spans="2:12" x14ac:dyDescent="0.25">
      <c r="B15" s="107" t="s">
        <v>16</v>
      </c>
      <c r="C15" s="70">
        <v>640</v>
      </c>
      <c r="D15" s="70">
        <v>739</v>
      </c>
      <c r="E15" s="70">
        <f t="shared" si="0"/>
        <v>1379</v>
      </c>
      <c r="F15" s="139"/>
      <c r="G15" s="269" t="s">
        <v>150</v>
      </c>
      <c r="H15" s="250">
        <v>296</v>
      </c>
      <c r="I15" s="267" t="s">
        <v>60</v>
      </c>
      <c r="J15" s="69">
        <f>SUM(C13:C17)</f>
        <v>3491</v>
      </c>
      <c r="K15" s="98"/>
      <c r="L15" s="98"/>
    </row>
    <row r="16" spans="2:12" ht="15.75" thickBot="1" x14ac:dyDescent="0.3">
      <c r="B16" s="107" t="s">
        <v>17</v>
      </c>
      <c r="C16" s="70">
        <v>592</v>
      </c>
      <c r="D16" s="70">
        <v>651</v>
      </c>
      <c r="E16" s="70">
        <f t="shared" si="0"/>
        <v>1243</v>
      </c>
      <c r="F16" s="139"/>
      <c r="G16" s="85" t="s">
        <v>151</v>
      </c>
      <c r="H16" s="251">
        <v>190</v>
      </c>
      <c r="I16" s="268" t="s">
        <v>61</v>
      </c>
      <c r="J16" s="51">
        <f>SUM(D18:D21)</f>
        <v>2851</v>
      </c>
      <c r="K16" s="57"/>
      <c r="L16" s="57"/>
    </row>
    <row r="17" spans="1:12" ht="15.75" thickBot="1" x14ac:dyDescent="0.3">
      <c r="B17" s="107" t="s">
        <v>18</v>
      </c>
      <c r="C17" s="70">
        <v>595</v>
      </c>
      <c r="D17" s="70">
        <v>687</v>
      </c>
      <c r="E17" s="70">
        <f t="shared" si="0"/>
        <v>1282</v>
      </c>
      <c r="F17" s="139"/>
      <c r="G17" s="85" t="s">
        <v>152</v>
      </c>
      <c r="H17" s="251">
        <v>261</v>
      </c>
      <c r="I17" s="47"/>
      <c r="J17" s="142"/>
      <c r="K17" s="57"/>
      <c r="L17" s="57"/>
    </row>
    <row r="18" spans="1:12" x14ac:dyDescent="0.25">
      <c r="B18" s="107" t="s">
        <v>19</v>
      </c>
      <c r="C18" s="70">
        <v>716</v>
      </c>
      <c r="D18" s="70">
        <v>718</v>
      </c>
      <c r="E18" s="70">
        <f t="shared" si="0"/>
        <v>1434</v>
      </c>
      <c r="F18" s="139"/>
      <c r="G18" s="85" t="s">
        <v>89</v>
      </c>
      <c r="H18" s="251">
        <v>287</v>
      </c>
      <c r="I18" s="267" t="s">
        <v>153</v>
      </c>
      <c r="J18" s="69">
        <f>+H22+H23+H24+E11+E12</f>
        <v>3834</v>
      </c>
      <c r="K18" s="57"/>
      <c r="L18" s="57"/>
    </row>
    <row r="19" spans="1:12" ht="15.75" thickBot="1" x14ac:dyDescent="0.3">
      <c r="B19" s="107" t="s">
        <v>20</v>
      </c>
      <c r="C19" s="70">
        <v>774</v>
      </c>
      <c r="D19" s="70">
        <v>816</v>
      </c>
      <c r="E19" s="70">
        <f t="shared" si="0"/>
        <v>1590</v>
      </c>
      <c r="F19" s="139"/>
      <c r="G19" s="85" t="s">
        <v>90</v>
      </c>
      <c r="H19" s="251">
        <v>280</v>
      </c>
      <c r="I19" s="268" t="s">
        <v>64</v>
      </c>
      <c r="J19" s="51">
        <f>SUM(E9:E12)</f>
        <v>5700</v>
      </c>
      <c r="K19" s="57"/>
      <c r="L19" s="57"/>
    </row>
    <row r="20" spans="1:12" x14ac:dyDescent="0.25">
      <c r="B20" s="107" t="s">
        <v>21</v>
      </c>
      <c r="C20" s="70">
        <v>733</v>
      </c>
      <c r="D20" s="70">
        <v>713</v>
      </c>
      <c r="E20" s="70">
        <f t="shared" si="0"/>
        <v>1446</v>
      </c>
      <c r="F20" s="139"/>
      <c r="G20" s="85" t="s">
        <v>169</v>
      </c>
      <c r="H20" s="251">
        <v>293</v>
      </c>
      <c r="I20" s="104"/>
      <c r="J20" s="94"/>
      <c r="K20" s="177"/>
      <c r="L20" s="177"/>
    </row>
    <row r="21" spans="1:12" ht="15" customHeight="1" x14ac:dyDescent="0.25">
      <c r="B21" s="107" t="s">
        <v>22</v>
      </c>
      <c r="C21" s="70">
        <v>623</v>
      </c>
      <c r="D21" s="70">
        <v>604</v>
      </c>
      <c r="E21" s="70">
        <f t="shared" si="0"/>
        <v>1227</v>
      </c>
      <c r="F21" s="139"/>
      <c r="G21" s="85" t="s">
        <v>57</v>
      </c>
      <c r="H21" s="251">
        <v>258</v>
      </c>
      <c r="I21" s="98"/>
      <c r="J21" s="197"/>
      <c r="K21" s="98"/>
      <c r="L21" s="98"/>
    </row>
    <row r="22" spans="1:12" x14ac:dyDescent="0.25">
      <c r="B22" s="107" t="s">
        <v>23</v>
      </c>
      <c r="C22" s="70">
        <v>480</v>
      </c>
      <c r="D22" s="70">
        <v>540</v>
      </c>
      <c r="E22" s="70">
        <f t="shared" si="0"/>
        <v>1020</v>
      </c>
      <c r="F22" s="139"/>
      <c r="G22" s="85" t="s">
        <v>168</v>
      </c>
      <c r="H22" s="251">
        <f>296+1</f>
        <v>297</v>
      </c>
      <c r="I22" s="142"/>
      <c r="J22" s="111"/>
      <c r="K22" s="98"/>
      <c r="L22" s="98"/>
    </row>
    <row r="23" spans="1:12" x14ac:dyDescent="0.25">
      <c r="B23" s="107" t="s">
        <v>24</v>
      </c>
      <c r="C23" s="70">
        <v>401</v>
      </c>
      <c r="D23" s="70">
        <v>459</v>
      </c>
      <c r="E23" s="70">
        <f t="shared" si="0"/>
        <v>860</v>
      </c>
      <c r="F23" s="139"/>
      <c r="G23" s="85" t="s">
        <v>170</v>
      </c>
      <c r="H23" s="251">
        <v>262</v>
      </c>
      <c r="I23" s="142"/>
      <c r="J23" s="142"/>
      <c r="K23" s="98"/>
      <c r="L23" s="98"/>
    </row>
    <row r="24" spans="1:12" x14ac:dyDescent="0.25">
      <c r="B24" s="107" t="s">
        <v>25</v>
      </c>
      <c r="C24" s="70">
        <v>278</v>
      </c>
      <c r="D24" s="70">
        <v>323</v>
      </c>
      <c r="E24" s="70">
        <f t="shared" si="0"/>
        <v>601</v>
      </c>
      <c r="F24" s="111"/>
      <c r="G24" s="85" t="s">
        <v>171</v>
      </c>
      <c r="H24" s="251">
        <v>291</v>
      </c>
      <c r="I24" s="111"/>
      <c r="J24" s="111"/>
      <c r="K24" s="98"/>
      <c r="L24" s="98"/>
    </row>
    <row r="25" spans="1:12" x14ac:dyDescent="0.25">
      <c r="B25" s="107" t="s">
        <v>26</v>
      </c>
      <c r="C25" s="70">
        <v>314</v>
      </c>
      <c r="D25" s="70">
        <v>449</v>
      </c>
      <c r="E25" s="70">
        <f t="shared" si="0"/>
        <v>763</v>
      </c>
      <c r="F25" s="111"/>
      <c r="G25" s="85" t="s">
        <v>58</v>
      </c>
      <c r="H25" s="251">
        <f>305+1</f>
        <v>306</v>
      </c>
      <c r="I25" s="111"/>
      <c r="J25" s="111"/>
    </row>
    <row r="26" spans="1:12" ht="15.75" thickBot="1" x14ac:dyDescent="0.3">
      <c r="B26" s="107" t="s">
        <v>98</v>
      </c>
      <c r="C26" s="119"/>
      <c r="D26" s="116"/>
      <c r="E26" s="70">
        <f t="shared" si="0"/>
        <v>0</v>
      </c>
      <c r="F26" s="111"/>
      <c r="G26" s="144" t="s">
        <v>63</v>
      </c>
      <c r="H26" s="252">
        <v>288</v>
      </c>
      <c r="I26" s="142"/>
      <c r="J26" s="142"/>
    </row>
    <row r="27" spans="1:12" ht="15.75" thickBot="1" x14ac:dyDescent="0.3">
      <c r="B27" s="112" t="s">
        <v>14</v>
      </c>
      <c r="C27" s="74">
        <f>SUM(C9:C26)</f>
        <v>10733</v>
      </c>
      <c r="D27" s="181">
        <f>SUM(D9:D26)</f>
        <v>11177</v>
      </c>
      <c r="E27" s="74">
        <f>SUM(E9:E26)</f>
        <v>21910</v>
      </c>
      <c r="F27" s="111"/>
      <c r="I27" s="167"/>
      <c r="J27" s="60"/>
    </row>
    <row r="29" spans="1:12" x14ac:dyDescent="0.25">
      <c r="A29" s="47"/>
      <c r="B29" s="47" t="s">
        <v>165</v>
      </c>
      <c r="C29" s="111"/>
      <c r="D29" s="111"/>
      <c r="E29" s="111"/>
    </row>
    <row r="30" spans="1:12" x14ac:dyDescent="0.25">
      <c r="A30" s="47"/>
      <c r="B30" s="111"/>
      <c r="C30" s="111"/>
      <c r="D30" s="111"/>
      <c r="E30" s="111"/>
    </row>
    <row r="31" spans="1:12" x14ac:dyDescent="0.25">
      <c r="A31" s="47"/>
      <c r="B31" s="111"/>
      <c r="C31" s="111"/>
      <c r="D31" s="111"/>
      <c r="E31" s="111"/>
    </row>
    <row r="32" spans="1:12" x14ac:dyDescent="0.25">
      <c r="A32" s="47"/>
    </row>
    <row r="33" spans="1:8" x14ac:dyDescent="0.25">
      <c r="A33" s="47"/>
      <c r="B33" s="58"/>
      <c r="C33" s="58"/>
      <c r="D33" s="58"/>
      <c r="E33" s="58"/>
      <c r="F33" s="58"/>
    </row>
    <row r="34" spans="1:8" x14ac:dyDescent="0.25">
      <c r="A34" s="47"/>
      <c r="B34" s="58"/>
      <c r="C34" s="58"/>
      <c r="D34" s="58"/>
      <c r="E34" s="58"/>
      <c r="F34" s="58"/>
    </row>
    <row r="35" spans="1:8" x14ac:dyDescent="0.25">
      <c r="A35" s="47"/>
      <c r="B35" s="58"/>
      <c r="C35" s="178"/>
      <c r="D35" s="178"/>
      <c r="E35" s="179"/>
      <c r="F35" s="179"/>
    </row>
    <row r="36" spans="1:8" x14ac:dyDescent="0.25">
      <c r="A36" s="47"/>
      <c r="B36" s="58"/>
      <c r="C36" s="58"/>
      <c r="D36" s="58"/>
      <c r="E36" s="58"/>
      <c r="F36" s="58"/>
    </row>
    <row r="37" spans="1:8" x14ac:dyDescent="0.25">
      <c r="A37" s="47"/>
      <c r="B37" s="58"/>
      <c r="C37" s="58"/>
      <c r="D37" s="58"/>
      <c r="E37" s="58"/>
      <c r="F37" s="58"/>
    </row>
    <row r="38" spans="1:8" x14ac:dyDescent="0.25">
      <c r="A38" s="47"/>
      <c r="B38" s="58"/>
      <c r="C38" s="58"/>
      <c r="D38" s="58"/>
      <c r="E38" s="58"/>
      <c r="F38" s="58"/>
      <c r="G38" s="182"/>
    </row>
    <row r="39" spans="1:8" x14ac:dyDescent="0.25">
      <c r="A39" s="47"/>
      <c r="B39" s="58"/>
      <c r="C39" s="58"/>
      <c r="D39" s="58"/>
      <c r="E39" s="58"/>
      <c r="F39" s="58"/>
    </row>
    <row r="40" spans="1:8" x14ac:dyDescent="0.25">
      <c r="A40" s="47"/>
      <c r="B40" s="58"/>
      <c r="C40" s="58"/>
      <c r="D40" s="58"/>
      <c r="E40" s="58"/>
      <c r="F40" s="58"/>
    </row>
    <row r="41" spans="1:8" x14ac:dyDescent="0.25">
      <c r="A41" s="47"/>
      <c r="B41" s="58"/>
      <c r="C41" s="179"/>
      <c r="D41" s="179"/>
      <c r="E41" s="179"/>
      <c r="F41" s="179"/>
    </row>
    <row r="42" spans="1:8" x14ac:dyDescent="0.25">
      <c r="A42" s="47"/>
      <c r="B42" s="58"/>
      <c r="C42" s="58"/>
      <c r="D42" s="58"/>
      <c r="E42" s="58"/>
      <c r="F42" s="58"/>
    </row>
    <row r="43" spans="1:8" x14ac:dyDescent="0.25">
      <c r="A43" s="47"/>
      <c r="B43" s="58"/>
      <c r="C43" s="58"/>
      <c r="D43" s="58"/>
      <c r="E43" s="58"/>
      <c r="F43" s="58"/>
      <c r="H43" s="182"/>
    </row>
    <row r="44" spans="1:8" x14ac:dyDescent="0.25">
      <c r="A44" s="47"/>
      <c r="B44" s="47"/>
      <c r="C44" s="47"/>
      <c r="D44" s="47"/>
      <c r="E44" s="47"/>
      <c r="F44" s="47"/>
    </row>
    <row r="45" spans="1:8" x14ac:dyDescent="0.25">
      <c r="A45" s="47"/>
      <c r="B45" s="47"/>
      <c r="C45" s="47"/>
      <c r="D45" s="47"/>
      <c r="E45" s="47"/>
      <c r="F45" s="47"/>
      <c r="G45" s="182"/>
    </row>
    <row r="46" spans="1:8" x14ac:dyDescent="0.25">
      <c r="A46" s="47"/>
      <c r="B46" s="47"/>
      <c r="C46" s="47"/>
      <c r="D46" s="47"/>
      <c r="E46" s="47"/>
      <c r="F46" s="47"/>
    </row>
    <row r="47" spans="1:8" x14ac:dyDescent="0.25">
      <c r="A47" s="47"/>
      <c r="B47" s="47"/>
      <c r="C47" s="182"/>
      <c r="D47" s="182"/>
      <c r="E47" s="182"/>
      <c r="F47" s="182"/>
    </row>
    <row r="48" spans="1:8" x14ac:dyDescent="0.25">
      <c r="A48" s="47"/>
      <c r="B48" s="47"/>
      <c r="C48" s="47"/>
      <c r="D48" s="47"/>
      <c r="E48" s="47"/>
      <c r="F48" s="47"/>
    </row>
    <row r="49" spans="1:7" x14ac:dyDescent="0.25">
      <c r="A49" s="47"/>
      <c r="B49" s="47"/>
      <c r="C49" s="47"/>
      <c r="D49" s="47"/>
      <c r="E49" s="47"/>
      <c r="F49" s="47"/>
    </row>
    <row r="50" spans="1:7" x14ac:dyDescent="0.25">
      <c r="A50" s="47"/>
      <c r="B50" s="47"/>
      <c r="C50" s="47"/>
      <c r="D50" s="47"/>
      <c r="E50" s="47"/>
      <c r="F50" s="47"/>
    </row>
    <row r="51" spans="1:7" x14ac:dyDescent="0.25">
      <c r="A51" s="47"/>
      <c r="B51" s="47"/>
      <c r="C51" s="47"/>
      <c r="D51" s="47"/>
      <c r="E51" s="47"/>
      <c r="F51" s="47"/>
    </row>
    <row r="52" spans="1:7" x14ac:dyDescent="0.25">
      <c r="A52" s="47"/>
      <c r="B52" s="47"/>
      <c r="C52" s="47"/>
      <c r="D52" s="47"/>
      <c r="E52" s="47"/>
      <c r="F52" s="47"/>
      <c r="G52" s="182"/>
    </row>
    <row r="53" spans="1:7" x14ac:dyDescent="0.25">
      <c r="A53" s="47"/>
      <c r="B53" s="47"/>
      <c r="C53" s="47"/>
      <c r="D53" s="47"/>
      <c r="E53" s="47"/>
      <c r="F53" s="47"/>
    </row>
    <row r="54" spans="1:7" x14ac:dyDescent="0.25">
      <c r="A54" s="47"/>
      <c r="B54" s="47"/>
      <c r="C54" s="47"/>
      <c r="D54" s="47"/>
      <c r="E54" s="47"/>
      <c r="F54" s="47"/>
    </row>
    <row r="55" spans="1:7" x14ac:dyDescent="0.25">
      <c r="A55" s="47"/>
      <c r="B55" s="47"/>
      <c r="C55" s="47"/>
      <c r="D55" s="47"/>
      <c r="E55" s="47"/>
      <c r="F55" s="47"/>
    </row>
    <row r="56" spans="1:7" x14ac:dyDescent="0.25">
      <c r="A56" s="47"/>
      <c r="B56" s="47"/>
      <c r="C56" s="47"/>
      <c r="D56" s="47"/>
      <c r="E56" s="47"/>
      <c r="F56" s="47"/>
    </row>
    <row r="57" spans="1:7" x14ac:dyDescent="0.25">
      <c r="A57" s="47"/>
      <c r="B57" s="47"/>
      <c r="C57" s="47"/>
      <c r="D57" s="47"/>
      <c r="E57" s="47"/>
      <c r="F57" s="47"/>
    </row>
    <row r="58" spans="1:7" x14ac:dyDescent="0.25">
      <c r="A58" s="47"/>
      <c r="B58" s="47"/>
      <c r="C58" s="47"/>
      <c r="D58" s="47"/>
      <c r="E58" s="47"/>
      <c r="F58" s="47"/>
    </row>
    <row r="59" spans="1:7" x14ac:dyDescent="0.25">
      <c r="A59" s="47"/>
      <c r="B59" s="47"/>
      <c r="C59" s="47"/>
      <c r="D59" s="47"/>
      <c r="E59" s="47"/>
      <c r="F59" s="47"/>
    </row>
    <row r="60" spans="1:7" x14ac:dyDescent="0.25">
      <c r="A60" s="47"/>
      <c r="B60" s="47"/>
      <c r="C60" s="47"/>
      <c r="D60" s="47"/>
      <c r="E60" s="47"/>
      <c r="F60" s="47"/>
    </row>
    <row r="61" spans="1:7" x14ac:dyDescent="0.25">
      <c r="A61" s="47"/>
      <c r="B61" s="47"/>
      <c r="C61" s="47"/>
      <c r="D61" s="47"/>
      <c r="E61" s="47"/>
      <c r="F61" s="47"/>
    </row>
    <row r="62" spans="1:7" x14ac:dyDescent="0.25">
      <c r="A62" s="47"/>
      <c r="B62" s="47"/>
      <c r="C62" s="182"/>
      <c r="D62" s="182"/>
      <c r="E62" s="182"/>
      <c r="F62" s="182"/>
    </row>
    <row r="63" spans="1:7" x14ac:dyDescent="0.25">
      <c r="A63" s="47"/>
      <c r="B63" s="47"/>
      <c r="C63" s="47"/>
      <c r="D63" s="47"/>
      <c r="E63" s="47"/>
      <c r="F63" s="47"/>
    </row>
  </sheetData>
  <mergeCells count="7">
    <mergeCell ref="B7:B8"/>
    <mergeCell ref="C7:E7"/>
    <mergeCell ref="G7:G8"/>
    <mergeCell ref="H7:J7"/>
    <mergeCell ref="B1:J1"/>
    <mergeCell ref="B2:J2"/>
    <mergeCell ref="G4:J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&amp;C&amp;"-,Cursiva"&amp;K01+049Depto. Estadísticas y Gestión de la Información - Servicio de Salud Osorno</oddFooter>
  </headerFooter>
  <ignoredErrors>
    <ignoredError sqref="H9:I12 J15:J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69"/>
  <sheetViews>
    <sheetView zoomScaleNormal="100" workbookViewId="0">
      <pane ySplit="5" topLeftCell="A6" activePane="bottomLeft" state="frozen"/>
      <selection activeCell="B2" sqref="B2:T2"/>
      <selection pane="bottomLeft" activeCell="B30" sqref="B30"/>
    </sheetView>
  </sheetViews>
  <sheetFormatPr baseColWidth="10" defaultRowHeight="15" x14ac:dyDescent="0.25"/>
  <cols>
    <col min="1" max="1" width="0.85546875" style="86" customWidth="1"/>
    <col min="2" max="2" width="16.7109375" style="86" customWidth="1"/>
    <col min="3" max="3" width="12.42578125" style="86" customWidth="1"/>
    <col min="4" max="5" width="11.42578125" style="86"/>
    <col min="6" max="6" width="9.7109375" style="86" customWidth="1"/>
    <col min="7" max="7" width="16.85546875" style="86" customWidth="1"/>
    <col min="8" max="8" width="11.42578125" style="86"/>
    <col min="9" max="9" width="17" style="86" customWidth="1"/>
    <col min="10" max="16384" width="11.42578125" style="86"/>
  </cols>
  <sheetData>
    <row r="1" spans="2:15" s="106" customFormat="1" ht="19.5" customHeight="1" x14ac:dyDescent="0.25">
      <c r="B1" s="277" t="str">
        <f>+OSORNO!B1</f>
        <v>POBLACIÓN INSCRITA VALIDADA POR FONASA AÑO 2020 SEGÚN SEXO Y EDAD</v>
      </c>
      <c r="C1" s="277"/>
      <c r="D1" s="277"/>
      <c r="E1" s="277"/>
      <c r="F1" s="277"/>
      <c r="G1" s="277"/>
      <c r="H1" s="277"/>
      <c r="I1" s="277"/>
      <c r="J1" s="277"/>
      <c r="K1" s="173"/>
      <c r="L1" s="173"/>
    </row>
    <row r="2" spans="2:15" s="106" customFormat="1" ht="19.5" customHeight="1" x14ac:dyDescent="0.25">
      <c r="B2" s="284" t="s">
        <v>95</v>
      </c>
      <c r="C2" s="284"/>
      <c r="D2" s="284"/>
      <c r="E2" s="284"/>
      <c r="F2" s="284"/>
      <c r="G2" s="284"/>
      <c r="H2" s="284"/>
      <c r="I2" s="284"/>
      <c r="J2" s="284"/>
    </row>
    <row r="4" spans="2:15" ht="15" customHeight="1" x14ac:dyDescent="0.25">
      <c r="B4" s="134" t="s">
        <v>66</v>
      </c>
      <c r="C4" s="135" t="s">
        <v>30</v>
      </c>
      <c r="D4" s="27"/>
      <c r="G4" s="293" t="s">
        <v>172</v>
      </c>
      <c r="H4" s="293"/>
      <c r="I4" s="293"/>
      <c r="J4" s="293"/>
    </row>
    <row r="5" spans="2:15" x14ac:dyDescent="0.25">
      <c r="B5" s="134" t="s">
        <v>44</v>
      </c>
      <c r="C5" s="137">
        <v>10304</v>
      </c>
      <c r="G5" s="293"/>
      <c r="H5" s="293"/>
      <c r="I5" s="293"/>
      <c r="J5" s="293"/>
    </row>
    <row r="6" spans="2:15" ht="15.75" thickBot="1" x14ac:dyDescent="0.3">
      <c r="B6" s="47" t="s">
        <v>112</v>
      </c>
    </row>
    <row r="7" spans="2:15" ht="27" customHeight="1" thickBot="1" x14ac:dyDescent="0.3">
      <c r="B7" s="278" t="s">
        <v>45</v>
      </c>
      <c r="C7" s="280" t="s">
        <v>70</v>
      </c>
      <c r="D7" s="281"/>
      <c r="E7" s="282"/>
      <c r="F7" s="138"/>
      <c r="G7" s="278" t="s">
        <v>45</v>
      </c>
      <c r="H7" s="280" t="s">
        <v>70</v>
      </c>
      <c r="I7" s="281"/>
      <c r="J7" s="282"/>
    </row>
    <row r="8" spans="2:15" ht="15.75" thickBot="1" x14ac:dyDescent="0.3">
      <c r="B8" s="279"/>
      <c r="C8" s="82" t="s">
        <v>2</v>
      </c>
      <c r="D8" s="83" t="s">
        <v>3</v>
      </c>
      <c r="E8" s="84" t="s">
        <v>4</v>
      </c>
      <c r="F8" s="139"/>
      <c r="G8" s="283"/>
      <c r="H8" s="82" t="s">
        <v>2</v>
      </c>
      <c r="I8" s="83" t="s">
        <v>3</v>
      </c>
      <c r="J8" s="84" t="s">
        <v>4</v>
      </c>
    </row>
    <row r="9" spans="2:15" x14ac:dyDescent="0.25">
      <c r="B9" s="107" t="s">
        <v>5</v>
      </c>
      <c r="C9" s="70">
        <v>273</v>
      </c>
      <c r="D9" s="70">
        <v>288</v>
      </c>
      <c r="E9" s="69">
        <f t="shared" ref="E9:E26" si="0">SUM(C9:D9)</f>
        <v>561</v>
      </c>
      <c r="F9" s="140"/>
      <c r="G9" s="108" t="s">
        <v>6</v>
      </c>
      <c r="H9" s="76">
        <f>SUM(C9:C10)</f>
        <v>692</v>
      </c>
      <c r="I9" s="69">
        <f>SUM(D9:D10)</f>
        <v>683</v>
      </c>
      <c r="J9" s="69">
        <f t="shared" ref="J9:J12" si="1">SUM(H9:I9)</f>
        <v>1375</v>
      </c>
    </row>
    <row r="10" spans="2:15" x14ac:dyDescent="0.25">
      <c r="B10" s="109" t="s">
        <v>7</v>
      </c>
      <c r="C10" s="70">
        <v>419</v>
      </c>
      <c r="D10" s="70">
        <v>395</v>
      </c>
      <c r="E10" s="70">
        <f t="shared" si="0"/>
        <v>814</v>
      </c>
      <c r="F10" s="139"/>
      <c r="G10" s="110" t="s">
        <v>8</v>
      </c>
      <c r="H10" s="71">
        <f>SUM(C11:C12)</f>
        <v>861</v>
      </c>
      <c r="I10" s="70">
        <f>SUM(D11:D12)</f>
        <v>820</v>
      </c>
      <c r="J10" s="70">
        <f t="shared" si="1"/>
        <v>1681</v>
      </c>
    </row>
    <row r="11" spans="2:15" x14ac:dyDescent="0.25">
      <c r="B11" s="107" t="s">
        <v>59</v>
      </c>
      <c r="C11" s="70">
        <v>435</v>
      </c>
      <c r="D11" s="70">
        <v>383</v>
      </c>
      <c r="E11" s="70">
        <f t="shared" si="0"/>
        <v>818</v>
      </c>
      <c r="F11" s="139"/>
      <c r="G11" s="110" t="s">
        <v>10</v>
      </c>
      <c r="H11" s="71">
        <f>SUM(C13:C21)</f>
        <v>3938</v>
      </c>
      <c r="I11" s="70">
        <f>SUM(D13:D21)</f>
        <v>3785</v>
      </c>
      <c r="J11" s="70">
        <f t="shared" si="1"/>
        <v>7723</v>
      </c>
    </row>
    <row r="12" spans="2:15" ht="15.75" thickBot="1" x14ac:dyDescent="0.3">
      <c r="B12" s="107" t="s">
        <v>11</v>
      </c>
      <c r="C12" s="70">
        <v>426</v>
      </c>
      <c r="D12" s="70">
        <v>437</v>
      </c>
      <c r="E12" s="70">
        <f t="shared" si="0"/>
        <v>863</v>
      </c>
      <c r="F12" s="139"/>
      <c r="G12" s="110" t="s">
        <v>12</v>
      </c>
      <c r="H12" s="71">
        <f>SUM(C22:C25)</f>
        <v>879</v>
      </c>
      <c r="I12" s="70">
        <f>SUM(D22:D25)</f>
        <v>860</v>
      </c>
      <c r="J12" s="70">
        <f t="shared" si="1"/>
        <v>1739</v>
      </c>
    </row>
    <row r="13" spans="2:15" ht="15.75" thickBot="1" x14ac:dyDescent="0.3">
      <c r="B13" s="107" t="s">
        <v>13</v>
      </c>
      <c r="C13" s="70">
        <v>528</v>
      </c>
      <c r="D13" s="70">
        <v>443</v>
      </c>
      <c r="E13" s="70">
        <f t="shared" si="0"/>
        <v>971</v>
      </c>
      <c r="F13" s="139"/>
      <c r="G13" s="81" t="s">
        <v>14</v>
      </c>
      <c r="H13" s="78">
        <f>SUM(H9:H12)</f>
        <v>6370</v>
      </c>
      <c r="I13" s="78">
        <f t="shared" ref="I13:J13" si="2">SUM(I9:I12)</f>
        <v>6148</v>
      </c>
      <c r="J13" s="74">
        <f t="shared" si="2"/>
        <v>12518</v>
      </c>
    </row>
    <row r="14" spans="2:15" ht="15.75" thickBot="1" x14ac:dyDescent="0.3">
      <c r="B14" s="107" t="s">
        <v>15</v>
      </c>
      <c r="C14" s="70">
        <v>449</v>
      </c>
      <c r="D14" s="70">
        <v>440</v>
      </c>
      <c r="E14" s="70">
        <f t="shared" si="0"/>
        <v>889</v>
      </c>
      <c r="F14" s="139"/>
      <c r="G14" s="142"/>
      <c r="H14" s="142"/>
      <c r="I14" s="142"/>
      <c r="J14" s="142"/>
    </row>
    <row r="15" spans="2:15" x14ac:dyDescent="0.25">
      <c r="B15" s="107" t="s">
        <v>16</v>
      </c>
      <c r="C15" s="70">
        <v>405</v>
      </c>
      <c r="D15" s="70">
        <v>389</v>
      </c>
      <c r="E15" s="70">
        <f t="shared" si="0"/>
        <v>794</v>
      </c>
      <c r="F15" s="139"/>
      <c r="G15" s="269" t="s">
        <v>150</v>
      </c>
      <c r="H15" s="250">
        <v>120</v>
      </c>
      <c r="I15" s="267" t="s">
        <v>60</v>
      </c>
      <c r="J15" s="69">
        <f>SUM(C13:C17)</f>
        <v>2210</v>
      </c>
      <c r="K15" s="98"/>
      <c r="L15" s="98"/>
      <c r="M15" s="98"/>
      <c r="N15" s="98"/>
      <c r="O15" s="98"/>
    </row>
    <row r="16" spans="2:15" ht="15.75" thickBot="1" x14ac:dyDescent="0.3">
      <c r="B16" s="107" t="s">
        <v>17</v>
      </c>
      <c r="C16" s="70">
        <v>373</v>
      </c>
      <c r="D16" s="70">
        <v>385</v>
      </c>
      <c r="E16" s="70">
        <f t="shared" si="0"/>
        <v>758</v>
      </c>
      <c r="F16" s="139"/>
      <c r="G16" s="85" t="s">
        <v>151</v>
      </c>
      <c r="H16" s="251">
        <v>95</v>
      </c>
      <c r="I16" s="268" t="s">
        <v>61</v>
      </c>
      <c r="J16" s="51">
        <f>SUM(D18:D21)</f>
        <v>1711</v>
      </c>
      <c r="K16" s="98"/>
      <c r="L16" s="58"/>
      <c r="M16" s="58"/>
      <c r="N16" s="57"/>
      <c r="O16" s="98"/>
    </row>
    <row r="17" spans="2:15" ht="15.75" thickBot="1" x14ac:dyDescent="0.3">
      <c r="B17" s="107" t="s">
        <v>18</v>
      </c>
      <c r="C17" s="70">
        <v>455</v>
      </c>
      <c r="D17" s="70">
        <v>417</v>
      </c>
      <c r="E17" s="70">
        <f t="shared" si="0"/>
        <v>872</v>
      </c>
      <c r="F17" s="139"/>
      <c r="G17" s="85" t="s">
        <v>152</v>
      </c>
      <c r="H17" s="251">
        <v>85</v>
      </c>
      <c r="I17" s="47"/>
      <c r="J17" s="142"/>
      <c r="K17" s="98"/>
      <c r="L17" s="58"/>
      <c r="M17" s="58"/>
      <c r="N17" s="57"/>
      <c r="O17" s="98"/>
    </row>
    <row r="18" spans="2:15" x14ac:dyDescent="0.25">
      <c r="B18" s="107" t="s">
        <v>19</v>
      </c>
      <c r="C18" s="70">
        <v>468</v>
      </c>
      <c r="D18" s="70">
        <v>442</v>
      </c>
      <c r="E18" s="70">
        <f t="shared" si="0"/>
        <v>910</v>
      </c>
      <c r="F18" s="139"/>
      <c r="G18" s="85" t="s">
        <v>89</v>
      </c>
      <c r="H18" s="251">
        <v>124</v>
      </c>
      <c r="I18" s="267" t="s">
        <v>153</v>
      </c>
      <c r="J18" s="69">
        <f>+H22+H23+H24+E11+E12</f>
        <v>2174</v>
      </c>
      <c r="K18" s="98"/>
      <c r="L18" s="58"/>
      <c r="M18" s="58"/>
      <c r="N18" s="57"/>
      <c r="O18" s="98"/>
    </row>
    <row r="19" spans="2:15" ht="15.75" thickBot="1" x14ac:dyDescent="0.3">
      <c r="B19" s="107" t="s">
        <v>20</v>
      </c>
      <c r="C19" s="70">
        <v>483</v>
      </c>
      <c r="D19" s="70">
        <v>474</v>
      </c>
      <c r="E19" s="70">
        <f t="shared" si="0"/>
        <v>957</v>
      </c>
      <c r="F19" s="139"/>
      <c r="G19" s="85" t="s">
        <v>90</v>
      </c>
      <c r="H19" s="251">
        <v>137</v>
      </c>
      <c r="I19" s="268" t="s">
        <v>64</v>
      </c>
      <c r="J19" s="51">
        <f>SUM(E9:E12)</f>
        <v>3056</v>
      </c>
      <c r="K19" s="98"/>
      <c r="L19" s="58"/>
      <c r="M19" s="58"/>
      <c r="N19" s="57"/>
      <c r="O19" s="98"/>
    </row>
    <row r="20" spans="2:15" x14ac:dyDescent="0.25">
      <c r="B20" s="107" t="s">
        <v>21</v>
      </c>
      <c r="C20" s="70">
        <v>433</v>
      </c>
      <c r="D20" s="70">
        <v>453</v>
      </c>
      <c r="E20" s="70">
        <f t="shared" si="0"/>
        <v>886</v>
      </c>
      <c r="F20" s="139"/>
      <c r="G20" s="85" t="s">
        <v>169</v>
      </c>
      <c r="H20" s="251">
        <v>157</v>
      </c>
      <c r="I20" s="104"/>
      <c r="J20" s="94"/>
      <c r="K20" s="98"/>
      <c r="L20" s="98"/>
      <c r="M20" s="98"/>
      <c r="N20" s="177"/>
      <c r="O20" s="98"/>
    </row>
    <row r="21" spans="2:15" x14ac:dyDescent="0.25">
      <c r="B21" s="107" t="s">
        <v>22</v>
      </c>
      <c r="C21" s="70">
        <v>344</v>
      </c>
      <c r="D21" s="70">
        <v>342</v>
      </c>
      <c r="E21" s="70">
        <f t="shared" si="0"/>
        <v>686</v>
      </c>
      <c r="F21" s="139"/>
      <c r="G21" s="85" t="s">
        <v>57</v>
      </c>
      <c r="H21" s="251">
        <v>164</v>
      </c>
      <c r="I21" s="98"/>
      <c r="J21" s="197"/>
      <c r="K21" s="98"/>
      <c r="L21" s="98"/>
      <c r="M21" s="98"/>
      <c r="N21" s="98"/>
      <c r="O21" s="98"/>
    </row>
    <row r="22" spans="2:15" ht="15" customHeight="1" x14ac:dyDescent="0.25">
      <c r="B22" s="107" t="s">
        <v>23</v>
      </c>
      <c r="C22" s="70">
        <v>276</v>
      </c>
      <c r="D22" s="70">
        <v>283</v>
      </c>
      <c r="E22" s="70">
        <f t="shared" si="0"/>
        <v>559</v>
      </c>
      <c r="F22" s="139"/>
      <c r="G22" s="85" t="s">
        <v>168</v>
      </c>
      <c r="H22" s="251">
        <v>164</v>
      </c>
      <c r="I22" s="142"/>
      <c r="J22" s="111"/>
      <c r="K22" s="98"/>
      <c r="L22" s="98"/>
      <c r="M22" s="98"/>
      <c r="N22" s="98"/>
      <c r="O22" s="98"/>
    </row>
    <row r="23" spans="2:15" x14ac:dyDescent="0.25">
      <c r="B23" s="107" t="s">
        <v>24</v>
      </c>
      <c r="C23" s="70">
        <v>247</v>
      </c>
      <c r="D23" s="70">
        <v>208</v>
      </c>
      <c r="E23" s="70">
        <f t="shared" si="0"/>
        <v>455</v>
      </c>
      <c r="F23" s="139"/>
      <c r="G23" s="85" t="s">
        <v>170</v>
      </c>
      <c r="H23" s="251">
        <v>173</v>
      </c>
      <c r="I23" s="142"/>
      <c r="J23" s="142"/>
      <c r="K23" s="98"/>
      <c r="L23" s="98"/>
      <c r="M23" s="98"/>
      <c r="N23" s="98"/>
      <c r="O23" s="98"/>
    </row>
    <row r="24" spans="2:15" x14ac:dyDescent="0.25">
      <c r="B24" s="107" t="s">
        <v>25</v>
      </c>
      <c r="C24" s="70">
        <v>170</v>
      </c>
      <c r="D24" s="70">
        <v>165</v>
      </c>
      <c r="E24" s="70">
        <f t="shared" si="0"/>
        <v>335</v>
      </c>
      <c r="F24" s="111"/>
      <c r="G24" s="85" t="s">
        <v>171</v>
      </c>
      <c r="H24" s="251">
        <v>156</v>
      </c>
      <c r="I24" s="111"/>
      <c r="J24" s="111"/>
      <c r="K24" s="98"/>
      <c r="L24" s="98"/>
      <c r="M24" s="98"/>
      <c r="N24" s="98"/>
      <c r="O24" s="98"/>
    </row>
    <row r="25" spans="2:15" x14ac:dyDescent="0.25">
      <c r="B25" s="107" t="s">
        <v>26</v>
      </c>
      <c r="C25" s="70">
        <v>186</v>
      </c>
      <c r="D25" s="70">
        <v>204</v>
      </c>
      <c r="E25" s="70">
        <f t="shared" si="0"/>
        <v>390</v>
      </c>
      <c r="F25" s="111"/>
      <c r="G25" s="85" t="s">
        <v>58</v>
      </c>
      <c r="H25" s="251">
        <v>162</v>
      </c>
      <c r="I25" s="111"/>
      <c r="J25" s="111"/>
    </row>
    <row r="26" spans="2:15" ht="15.75" thickBot="1" x14ac:dyDescent="0.3">
      <c r="B26" s="107" t="s">
        <v>98</v>
      </c>
      <c r="C26" s="122"/>
      <c r="D26" s="116"/>
      <c r="E26" s="70">
        <f t="shared" si="0"/>
        <v>0</v>
      </c>
      <c r="F26" s="111"/>
      <c r="G26" s="144" t="s">
        <v>63</v>
      </c>
      <c r="H26" s="252">
        <v>148</v>
      </c>
      <c r="I26" s="142"/>
      <c r="J26" s="142"/>
    </row>
    <row r="27" spans="2:15" ht="15.75" thickBot="1" x14ac:dyDescent="0.3">
      <c r="B27" s="112" t="s">
        <v>14</v>
      </c>
      <c r="C27" s="74">
        <f>SUM(C9:C26)</f>
        <v>6370</v>
      </c>
      <c r="D27" s="74">
        <f>SUM(D9:D26)</f>
        <v>6148</v>
      </c>
      <c r="E27" s="74">
        <f>SUM(E9:E26)</f>
        <v>12518</v>
      </c>
      <c r="F27" s="111"/>
      <c r="G27" s="111"/>
      <c r="H27" s="111"/>
      <c r="I27" s="167"/>
      <c r="J27" s="60"/>
    </row>
    <row r="28" spans="2:15" x14ac:dyDescent="0.25">
      <c r="C28" s="58"/>
      <c r="D28" s="58"/>
      <c r="E28" s="57"/>
      <c r="I28" s="98"/>
    </row>
    <row r="29" spans="2:15" x14ac:dyDescent="0.25">
      <c r="B29" s="47" t="s">
        <v>173</v>
      </c>
      <c r="C29" s="58"/>
      <c r="D29" s="58"/>
      <c r="E29" s="57"/>
      <c r="F29" s="58"/>
      <c r="G29" s="58"/>
      <c r="H29" s="98"/>
    </row>
    <row r="30" spans="2:15" x14ac:dyDescent="0.25">
      <c r="B30" s="58"/>
      <c r="C30" s="58"/>
      <c r="D30" s="58"/>
      <c r="E30" s="57"/>
      <c r="F30" s="58"/>
      <c r="G30" s="58"/>
      <c r="H30" s="98"/>
    </row>
    <row r="31" spans="2:15" x14ac:dyDescent="0.25">
      <c r="B31" s="58"/>
      <c r="C31" s="58"/>
      <c r="D31" s="58"/>
      <c r="E31" s="57"/>
      <c r="F31" s="58"/>
      <c r="G31" s="58"/>
      <c r="H31" s="98"/>
    </row>
    <row r="32" spans="2:15" x14ac:dyDescent="0.25">
      <c r="B32" s="58"/>
      <c r="C32" s="58"/>
      <c r="D32" s="58"/>
      <c r="E32" s="57"/>
      <c r="F32" s="58"/>
      <c r="G32" s="58"/>
      <c r="H32" s="98"/>
    </row>
    <row r="33" spans="2:8" x14ac:dyDescent="0.25">
      <c r="B33" s="58"/>
      <c r="C33" s="57"/>
      <c r="D33" s="58"/>
      <c r="E33" s="57"/>
      <c r="F33" s="58"/>
      <c r="G33" s="58"/>
      <c r="H33" s="98"/>
    </row>
    <row r="34" spans="2:8" x14ac:dyDescent="0.25">
      <c r="B34" s="58"/>
      <c r="C34" s="57"/>
      <c r="D34" s="58"/>
      <c r="E34" s="57"/>
      <c r="F34" s="58"/>
      <c r="G34" s="58"/>
      <c r="H34" s="98"/>
    </row>
    <row r="35" spans="2:8" x14ac:dyDescent="0.25">
      <c r="B35" s="58"/>
      <c r="C35" s="57"/>
      <c r="D35" s="179"/>
      <c r="E35" s="178"/>
      <c r="F35" s="179"/>
      <c r="G35" s="179"/>
      <c r="H35" s="98"/>
    </row>
    <row r="36" spans="2:8" x14ac:dyDescent="0.25">
      <c r="B36" s="58"/>
      <c r="C36" s="57"/>
      <c r="D36" s="58"/>
      <c r="E36" s="57"/>
      <c r="F36" s="58"/>
      <c r="G36" s="58"/>
      <c r="H36" s="98"/>
    </row>
    <row r="37" spans="2:8" x14ac:dyDescent="0.25">
      <c r="B37" s="58"/>
      <c r="C37" s="57"/>
      <c r="D37" s="58"/>
      <c r="E37" s="57"/>
      <c r="F37" s="58"/>
      <c r="G37" s="58"/>
      <c r="H37" s="98"/>
    </row>
    <row r="38" spans="2:8" x14ac:dyDescent="0.25">
      <c r="B38" s="58"/>
      <c r="C38" s="57"/>
      <c r="D38" s="58"/>
      <c r="E38" s="57"/>
      <c r="F38" s="58"/>
      <c r="G38" s="58"/>
      <c r="H38" s="98"/>
    </row>
    <row r="39" spans="2:8" x14ac:dyDescent="0.25">
      <c r="B39" s="58"/>
      <c r="C39" s="57"/>
      <c r="D39" s="58"/>
      <c r="E39" s="57"/>
      <c r="F39" s="58"/>
      <c r="G39" s="58"/>
      <c r="H39" s="98"/>
    </row>
    <row r="40" spans="2:8" x14ac:dyDescent="0.25">
      <c r="B40" s="58"/>
      <c r="C40" s="57"/>
      <c r="D40" s="58"/>
      <c r="E40" s="57"/>
      <c r="F40" s="58"/>
      <c r="G40" s="58"/>
      <c r="H40" s="98"/>
    </row>
    <row r="41" spans="2:8" x14ac:dyDescent="0.25">
      <c r="B41" s="58"/>
      <c r="C41" s="57"/>
      <c r="D41" s="179"/>
      <c r="E41" s="178"/>
      <c r="F41" s="179"/>
      <c r="G41" s="179"/>
      <c r="H41" s="98"/>
    </row>
    <row r="42" spans="2:8" x14ac:dyDescent="0.25">
      <c r="B42" s="58"/>
      <c r="C42" s="57"/>
      <c r="D42" s="58"/>
      <c r="E42" s="57"/>
      <c r="F42" s="58"/>
      <c r="G42" s="58"/>
      <c r="H42" s="98"/>
    </row>
    <row r="43" spans="2:8" x14ac:dyDescent="0.25">
      <c r="B43" s="58"/>
      <c r="C43" s="57"/>
      <c r="D43" s="58"/>
      <c r="E43" s="58"/>
      <c r="F43" s="58"/>
      <c r="G43" s="58"/>
      <c r="H43" s="98"/>
    </row>
    <row r="44" spans="2:8" x14ac:dyDescent="0.25">
      <c r="B44" s="58"/>
      <c r="C44" s="57"/>
      <c r="D44" s="58"/>
      <c r="E44" s="58"/>
      <c r="F44" s="58"/>
      <c r="G44" s="58"/>
      <c r="H44" s="98"/>
    </row>
    <row r="45" spans="2:8" x14ac:dyDescent="0.25">
      <c r="B45" s="58"/>
      <c r="C45" s="57"/>
      <c r="D45" s="58"/>
      <c r="E45" s="58"/>
      <c r="F45" s="58"/>
      <c r="G45" s="58"/>
      <c r="H45" s="98"/>
    </row>
    <row r="46" spans="2:8" x14ac:dyDescent="0.25">
      <c r="B46" s="58"/>
      <c r="C46" s="58"/>
      <c r="D46" s="58"/>
      <c r="E46" s="58"/>
      <c r="F46" s="58"/>
      <c r="G46" s="58"/>
      <c r="H46" s="98"/>
    </row>
    <row r="47" spans="2:8" x14ac:dyDescent="0.25">
      <c r="B47" s="58"/>
      <c r="C47" s="58"/>
      <c r="D47" s="179"/>
      <c r="E47" s="178"/>
      <c r="F47" s="179"/>
      <c r="G47" s="179"/>
      <c r="H47" s="98"/>
    </row>
    <row r="48" spans="2:8" x14ac:dyDescent="0.25">
      <c r="B48" s="58"/>
      <c r="C48" s="58"/>
      <c r="D48" s="58"/>
      <c r="E48" s="58"/>
      <c r="F48" s="58"/>
      <c r="G48" s="58"/>
      <c r="H48" s="98"/>
    </row>
    <row r="49" spans="2:8" x14ac:dyDescent="0.25">
      <c r="B49" s="58"/>
      <c r="C49" s="58"/>
      <c r="D49" s="58"/>
      <c r="E49" s="58"/>
      <c r="F49" s="58"/>
      <c r="G49" s="58"/>
      <c r="H49" s="98"/>
    </row>
    <row r="50" spans="2:8" x14ac:dyDescent="0.25">
      <c r="B50" s="58"/>
      <c r="C50" s="58"/>
      <c r="D50" s="58"/>
      <c r="E50" s="58"/>
      <c r="F50" s="58"/>
      <c r="G50" s="58"/>
      <c r="H50" s="98"/>
    </row>
    <row r="51" spans="2:8" x14ac:dyDescent="0.25">
      <c r="B51" s="58"/>
      <c r="C51" s="58"/>
      <c r="D51" s="58"/>
      <c r="E51" s="58"/>
      <c r="F51" s="58"/>
      <c r="G51" s="58"/>
      <c r="H51" s="98"/>
    </row>
    <row r="52" spans="2:8" x14ac:dyDescent="0.25">
      <c r="B52" s="58"/>
      <c r="C52" s="58"/>
      <c r="D52" s="58"/>
      <c r="E52" s="58"/>
      <c r="F52" s="58"/>
      <c r="G52" s="58"/>
      <c r="H52" s="98"/>
    </row>
    <row r="53" spans="2:8" x14ac:dyDescent="0.25">
      <c r="B53" s="58"/>
      <c r="C53" s="58"/>
      <c r="D53" s="58"/>
      <c r="E53" s="58"/>
      <c r="F53" s="58"/>
      <c r="G53" s="58"/>
      <c r="H53" s="98"/>
    </row>
    <row r="54" spans="2:8" x14ac:dyDescent="0.25">
      <c r="B54" s="58"/>
      <c r="C54" s="58"/>
      <c r="D54" s="58"/>
      <c r="E54" s="58"/>
      <c r="F54" s="58"/>
      <c r="G54" s="58"/>
      <c r="H54" s="98"/>
    </row>
    <row r="55" spans="2:8" x14ac:dyDescent="0.25">
      <c r="B55" s="58"/>
      <c r="C55" s="58"/>
      <c r="D55" s="58"/>
      <c r="E55" s="58"/>
      <c r="F55" s="58"/>
      <c r="G55" s="58"/>
      <c r="H55" s="98"/>
    </row>
    <row r="56" spans="2:8" x14ac:dyDescent="0.25">
      <c r="B56" s="58"/>
      <c r="C56" s="58"/>
      <c r="D56" s="58"/>
      <c r="E56" s="58"/>
      <c r="F56" s="58"/>
      <c r="G56" s="58"/>
      <c r="H56" s="98"/>
    </row>
    <row r="57" spans="2:8" x14ac:dyDescent="0.25">
      <c r="B57" s="58"/>
      <c r="C57" s="58"/>
      <c r="D57" s="58"/>
      <c r="E57" s="58"/>
      <c r="F57" s="58"/>
      <c r="G57" s="58"/>
      <c r="H57" s="98"/>
    </row>
    <row r="58" spans="2:8" x14ac:dyDescent="0.25">
      <c r="B58" s="58"/>
      <c r="C58" s="58"/>
      <c r="D58" s="58"/>
      <c r="E58" s="58"/>
      <c r="F58" s="58"/>
      <c r="G58" s="58"/>
      <c r="H58" s="98"/>
    </row>
    <row r="59" spans="2:8" x14ac:dyDescent="0.25">
      <c r="B59" s="58"/>
      <c r="C59" s="58"/>
      <c r="D59" s="58"/>
      <c r="E59" s="58"/>
      <c r="F59" s="58"/>
      <c r="G59" s="58"/>
      <c r="H59" s="98"/>
    </row>
    <row r="60" spans="2:8" x14ac:dyDescent="0.25">
      <c r="B60" s="58"/>
      <c r="C60" s="58"/>
      <c r="D60" s="58"/>
      <c r="E60" s="58"/>
      <c r="F60" s="58"/>
      <c r="G60" s="58"/>
      <c r="H60" s="98"/>
    </row>
    <row r="61" spans="2:8" x14ac:dyDescent="0.25">
      <c r="B61" s="58"/>
      <c r="C61" s="58"/>
      <c r="D61" s="58"/>
      <c r="E61" s="58"/>
      <c r="F61" s="58"/>
      <c r="G61" s="58"/>
      <c r="H61" s="98"/>
    </row>
    <row r="62" spans="2:8" x14ac:dyDescent="0.25">
      <c r="B62" s="58"/>
      <c r="C62" s="58"/>
      <c r="D62" s="180"/>
      <c r="E62" s="180"/>
      <c r="F62" s="180"/>
      <c r="G62" s="180"/>
      <c r="H62" s="98"/>
    </row>
    <row r="63" spans="2:8" x14ac:dyDescent="0.25">
      <c r="B63" s="58"/>
      <c r="C63" s="58"/>
      <c r="D63" s="58"/>
      <c r="E63" s="58"/>
      <c r="F63" s="58"/>
      <c r="G63" s="58"/>
      <c r="H63" s="98"/>
    </row>
    <row r="64" spans="2:8" x14ac:dyDescent="0.25">
      <c r="B64" s="98"/>
      <c r="C64" s="98"/>
      <c r="D64" s="98"/>
      <c r="E64" s="98"/>
      <c r="F64" s="98"/>
      <c r="G64" s="98"/>
      <c r="H64" s="98"/>
    </row>
    <row r="65" spans="2:8" x14ac:dyDescent="0.25">
      <c r="B65" s="98"/>
      <c r="C65" s="98"/>
      <c r="D65" s="98"/>
      <c r="E65" s="98"/>
      <c r="F65" s="98"/>
      <c r="G65" s="98"/>
      <c r="H65" s="98"/>
    </row>
    <row r="66" spans="2:8" x14ac:dyDescent="0.25">
      <c r="B66" s="98"/>
      <c r="C66" s="98"/>
      <c r="D66" s="98"/>
      <c r="E66" s="98"/>
      <c r="F66" s="98"/>
      <c r="G66" s="98"/>
      <c r="H66" s="98"/>
    </row>
    <row r="67" spans="2:8" x14ac:dyDescent="0.25">
      <c r="B67" s="98"/>
      <c r="C67" s="98"/>
      <c r="D67" s="98"/>
      <c r="E67" s="98"/>
      <c r="F67" s="98"/>
      <c r="G67" s="98"/>
      <c r="H67" s="98"/>
    </row>
    <row r="68" spans="2:8" x14ac:dyDescent="0.25">
      <c r="B68" s="98"/>
      <c r="C68" s="98"/>
      <c r="D68" s="98"/>
      <c r="E68" s="98"/>
      <c r="F68" s="98"/>
      <c r="G68" s="98"/>
      <c r="H68" s="98"/>
    </row>
    <row r="69" spans="2:8" x14ac:dyDescent="0.25">
      <c r="B69" s="98"/>
      <c r="C69" s="98"/>
      <c r="D69" s="98"/>
      <c r="E69" s="98"/>
      <c r="F69" s="98"/>
      <c r="G69" s="98"/>
      <c r="H69" s="98"/>
    </row>
  </sheetData>
  <mergeCells count="7"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&amp;C&amp;"-,Cursiva"&amp;K01+049Depto. Estadísticas y Gestión de la Información - Servicio de Salud Osorno</oddFooter>
  </headerFooter>
  <ignoredErrors>
    <ignoredError sqref="I9:I12 H10:H12 H9 J15:J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22"/>
  <sheetViews>
    <sheetView topLeftCell="C1" zoomScaleNormal="100" workbookViewId="0">
      <pane ySplit="5" topLeftCell="A6" activePane="bottomLeft" state="frozen"/>
      <selection activeCell="B2" sqref="B2:T2"/>
      <selection pane="bottomLeft" activeCell="J24" sqref="J24"/>
    </sheetView>
  </sheetViews>
  <sheetFormatPr baseColWidth="10" defaultRowHeight="15" x14ac:dyDescent="0.25"/>
  <cols>
    <col min="1" max="1" width="1" style="86" customWidth="1"/>
    <col min="2" max="2" width="17.42578125" style="86" bestFit="1" customWidth="1"/>
    <col min="3" max="3" width="11.42578125" style="86"/>
    <col min="4" max="5" width="11.42578125" style="86" customWidth="1"/>
    <col min="6" max="6" width="11.85546875" style="86" customWidth="1"/>
    <col min="7" max="7" width="17.5703125" style="86" customWidth="1"/>
    <col min="8" max="8" width="13.140625" style="86" customWidth="1"/>
    <col min="9" max="9" width="17.28515625" style="86" customWidth="1"/>
    <col min="10" max="16384" width="11.42578125" style="86"/>
  </cols>
  <sheetData>
    <row r="1" spans="2:17" s="106" customFormat="1" ht="19.5" customHeight="1" x14ac:dyDescent="0.25">
      <c r="B1" s="277" t="str">
        <f>+OSORNO!B1</f>
        <v>POBLACIÓN INSCRITA VALIDADA POR FONASA AÑO 2020 SEGÚN SEXO Y EDAD</v>
      </c>
      <c r="C1" s="277"/>
      <c r="D1" s="277"/>
      <c r="E1" s="277"/>
      <c r="F1" s="277"/>
      <c r="G1" s="277"/>
      <c r="H1" s="277"/>
      <c r="I1" s="277"/>
      <c r="J1" s="277"/>
      <c r="K1" s="173"/>
      <c r="L1" s="173"/>
    </row>
    <row r="2" spans="2:17" s="106" customFormat="1" ht="19.5" customHeight="1" x14ac:dyDescent="0.25">
      <c r="B2" s="284" t="s">
        <v>93</v>
      </c>
      <c r="C2" s="284"/>
      <c r="D2" s="284"/>
      <c r="E2" s="284"/>
      <c r="F2" s="284"/>
      <c r="G2" s="284"/>
      <c r="H2" s="284"/>
      <c r="I2" s="284"/>
      <c r="J2" s="284"/>
      <c r="K2" s="173"/>
      <c r="L2" s="173"/>
    </row>
    <row r="4" spans="2:17" x14ac:dyDescent="0.25">
      <c r="B4" s="134" t="s">
        <v>66</v>
      </c>
      <c r="C4" s="135" t="s">
        <v>28</v>
      </c>
      <c r="G4" s="293" t="s">
        <v>123</v>
      </c>
      <c r="H4" s="293"/>
      <c r="I4" s="293"/>
      <c r="J4" s="293"/>
    </row>
    <row r="5" spans="2:17" x14ac:dyDescent="0.25">
      <c r="B5" s="134" t="s">
        <v>44</v>
      </c>
      <c r="C5" s="137">
        <v>10305</v>
      </c>
      <c r="G5" s="293"/>
      <c r="H5" s="293"/>
      <c r="I5" s="293"/>
      <c r="J5" s="293"/>
    </row>
    <row r="6" spans="2:17" ht="15.75" thickBot="1" x14ac:dyDescent="0.3">
      <c r="B6" s="47" t="s">
        <v>113</v>
      </c>
      <c r="N6" s="105"/>
      <c r="O6" s="164"/>
      <c r="P6" s="152"/>
      <c r="Q6" s="152"/>
    </row>
    <row r="7" spans="2:17" ht="29.25" customHeight="1" thickBot="1" x14ac:dyDescent="0.3">
      <c r="B7" s="278" t="s">
        <v>45</v>
      </c>
      <c r="C7" s="280" t="s">
        <v>82</v>
      </c>
      <c r="D7" s="281"/>
      <c r="E7" s="282"/>
      <c r="F7" s="138"/>
      <c r="G7" s="278" t="s">
        <v>45</v>
      </c>
      <c r="H7" s="280" t="s">
        <v>82</v>
      </c>
      <c r="I7" s="281"/>
      <c r="J7" s="282"/>
      <c r="K7" s="152"/>
      <c r="L7" s="152"/>
      <c r="N7" s="165"/>
      <c r="O7" s="166"/>
      <c r="P7" s="166"/>
      <c r="Q7" s="166"/>
    </row>
    <row r="8" spans="2:17" ht="20.25" customHeight="1" thickBot="1" x14ac:dyDescent="0.3">
      <c r="B8" s="279"/>
      <c r="C8" s="82" t="s">
        <v>2</v>
      </c>
      <c r="D8" s="83" t="s">
        <v>3</v>
      </c>
      <c r="E8" s="84" t="s">
        <v>4</v>
      </c>
      <c r="F8" s="139"/>
      <c r="G8" s="283"/>
      <c r="H8" s="82" t="s">
        <v>2</v>
      </c>
      <c r="I8" s="83" t="s">
        <v>3</v>
      </c>
      <c r="J8" s="84" t="s">
        <v>4</v>
      </c>
      <c r="K8" s="166"/>
      <c r="L8" s="166"/>
      <c r="N8" s="159"/>
      <c r="O8" s="153"/>
      <c r="P8" s="153"/>
      <c r="Q8" s="153"/>
    </row>
    <row r="9" spans="2:17" x14ac:dyDescent="0.25">
      <c r="B9" s="107" t="s">
        <v>5</v>
      </c>
      <c r="C9" s="69">
        <f>+C35+C58+C81+C104</f>
        <v>345</v>
      </c>
      <c r="D9" s="69">
        <f>+D35+D58+D81+D104</f>
        <v>317</v>
      </c>
      <c r="E9" s="69">
        <f t="shared" ref="E9:E10" si="0">SUM(C9:D9)</f>
        <v>662</v>
      </c>
      <c r="F9" s="140"/>
      <c r="G9" s="108" t="s">
        <v>6</v>
      </c>
      <c r="H9" s="76">
        <f>SUM(C9:C10)</f>
        <v>775</v>
      </c>
      <c r="I9" s="69">
        <f>SUM(D9:D10)</f>
        <v>770</v>
      </c>
      <c r="J9" s="69">
        <f t="shared" ref="J9:J12" si="1">SUM(H9:I9)</f>
        <v>1545</v>
      </c>
      <c r="L9" s="166"/>
      <c r="N9" s="159"/>
    </row>
    <row r="10" spans="2:17" x14ac:dyDescent="0.25">
      <c r="B10" s="109" t="s">
        <v>7</v>
      </c>
      <c r="C10" s="70">
        <f t="shared" ref="C10:D10" si="2">+C36+C59+C82+C105</f>
        <v>430</v>
      </c>
      <c r="D10" s="70">
        <f t="shared" si="2"/>
        <v>453</v>
      </c>
      <c r="E10" s="70">
        <f t="shared" si="0"/>
        <v>883</v>
      </c>
      <c r="F10" s="139"/>
      <c r="G10" s="110" t="s">
        <v>8</v>
      </c>
      <c r="H10" s="71">
        <f>SUM(C11:C12)</f>
        <v>964</v>
      </c>
      <c r="I10" s="70">
        <f>SUM(D11:D12)</f>
        <v>914</v>
      </c>
      <c r="J10" s="70">
        <f t="shared" si="1"/>
        <v>1878</v>
      </c>
      <c r="K10" s="153"/>
      <c r="L10" s="166"/>
      <c r="N10" s="159"/>
      <c r="O10" s="153"/>
      <c r="P10" s="153"/>
      <c r="Q10" s="153"/>
    </row>
    <row r="11" spans="2:17" x14ac:dyDescent="0.25">
      <c r="B11" s="107" t="s">
        <v>59</v>
      </c>
      <c r="C11" s="70">
        <f t="shared" ref="C11:D11" si="3">+C37+C60+C83+C106</f>
        <v>480</v>
      </c>
      <c r="D11" s="70">
        <f t="shared" si="3"/>
        <v>438</v>
      </c>
      <c r="E11" s="70">
        <f t="shared" ref="E11:E19" si="4">SUM(C11:D11)</f>
        <v>918</v>
      </c>
      <c r="F11" s="139"/>
      <c r="G11" s="110" t="s">
        <v>10</v>
      </c>
      <c r="H11" s="71">
        <f>SUM(C13:C21)</f>
        <v>4529</v>
      </c>
      <c r="I11" s="70">
        <f>SUM(D13:D21)</f>
        <v>4117</v>
      </c>
      <c r="J11" s="70">
        <f t="shared" si="1"/>
        <v>8646</v>
      </c>
      <c r="K11" s="153"/>
      <c r="L11" s="166"/>
      <c r="N11" s="159"/>
      <c r="O11" s="153"/>
      <c r="P11" s="153"/>
      <c r="Q11" s="99"/>
    </row>
    <row r="12" spans="2:17" ht="15.75" thickBot="1" x14ac:dyDescent="0.3">
      <c r="B12" s="107" t="s">
        <v>11</v>
      </c>
      <c r="C12" s="70">
        <f t="shared" ref="C12:D12" si="5">+C38+C61+C84+C107</f>
        <v>484</v>
      </c>
      <c r="D12" s="70">
        <f t="shared" si="5"/>
        <v>476</v>
      </c>
      <c r="E12" s="70">
        <f t="shared" si="4"/>
        <v>960</v>
      </c>
      <c r="F12" s="139"/>
      <c r="G12" s="110" t="s">
        <v>12</v>
      </c>
      <c r="H12" s="71">
        <f>SUM(C22:C25)</f>
        <v>949</v>
      </c>
      <c r="I12" s="70">
        <f>SUM(D22:D25)</f>
        <v>1047</v>
      </c>
      <c r="J12" s="70">
        <f t="shared" si="1"/>
        <v>1996</v>
      </c>
      <c r="K12" s="153"/>
      <c r="L12" s="166"/>
      <c r="N12" s="159"/>
      <c r="O12" s="153"/>
      <c r="P12" s="153"/>
      <c r="Q12" s="99"/>
    </row>
    <row r="13" spans="2:17" ht="15.75" thickBot="1" x14ac:dyDescent="0.3">
      <c r="B13" s="107" t="s">
        <v>13</v>
      </c>
      <c r="C13" s="70">
        <f t="shared" ref="C13:D13" si="6">+C39+C62+C85+C108</f>
        <v>563</v>
      </c>
      <c r="D13" s="70">
        <f t="shared" si="6"/>
        <v>485</v>
      </c>
      <c r="E13" s="70">
        <f t="shared" si="4"/>
        <v>1048</v>
      </c>
      <c r="F13" s="139"/>
      <c r="G13" s="81" t="s">
        <v>14</v>
      </c>
      <c r="H13" s="78">
        <f>SUM(H9:H12)</f>
        <v>7217</v>
      </c>
      <c r="I13" s="78">
        <f t="shared" ref="I13:J13" si="7">SUM(I9:I12)</f>
        <v>6848</v>
      </c>
      <c r="J13" s="74">
        <f t="shared" si="7"/>
        <v>14065</v>
      </c>
      <c r="K13" s="101"/>
      <c r="L13" s="166"/>
      <c r="N13" s="159"/>
      <c r="O13" s="153"/>
      <c r="P13" s="153"/>
      <c r="Q13" s="99"/>
    </row>
    <row r="14" spans="2:17" ht="15.75" thickBot="1" x14ac:dyDescent="0.3">
      <c r="B14" s="107" t="s">
        <v>15</v>
      </c>
      <c r="C14" s="70">
        <f t="shared" ref="C14:D14" si="8">+C40+C63+C86+C109</f>
        <v>595</v>
      </c>
      <c r="D14" s="70">
        <f t="shared" si="8"/>
        <v>547</v>
      </c>
      <c r="E14" s="70">
        <f t="shared" si="4"/>
        <v>1142</v>
      </c>
      <c r="F14" s="139"/>
      <c r="G14" s="254"/>
      <c r="H14" s="254"/>
      <c r="I14" s="254"/>
      <c r="J14" s="254"/>
      <c r="L14" s="166"/>
      <c r="N14" s="159"/>
      <c r="O14" s="153"/>
      <c r="P14" s="153"/>
      <c r="Q14" s="99"/>
    </row>
    <row r="15" spans="2:17" x14ac:dyDescent="0.25">
      <c r="B15" s="107" t="s">
        <v>16</v>
      </c>
      <c r="C15" s="70">
        <f t="shared" ref="C15:D15" si="9">+C41+C64+C87+C110</f>
        <v>502</v>
      </c>
      <c r="D15" s="70">
        <f t="shared" si="9"/>
        <v>469</v>
      </c>
      <c r="E15" s="70">
        <f t="shared" si="4"/>
        <v>971</v>
      </c>
      <c r="F15" s="139"/>
      <c r="G15" s="269" t="s">
        <v>150</v>
      </c>
      <c r="H15" s="250">
        <f>+H41+H64+H87+H110</f>
        <v>147</v>
      </c>
      <c r="I15" s="267" t="s">
        <v>60</v>
      </c>
      <c r="J15" s="69">
        <f>SUM(C13:C17)</f>
        <v>2626</v>
      </c>
      <c r="K15" s="58"/>
      <c r="L15" s="166"/>
      <c r="N15" s="159"/>
      <c r="O15" s="153"/>
      <c r="P15" s="153"/>
      <c r="Q15" s="99"/>
    </row>
    <row r="16" spans="2:17" ht="15.75" thickBot="1" x14ac:dyDescent="0.3">
      <c r="B16" s="107" t="s">
        <v>17</v>
      </c>
      <c r="C16" s="70">
        <f t="shared" ref="C16:D16" si="10">+C42+C65+C88+C111</f>
        <v>494</v>
      </c>
      <c r="D16" s="70">
        <f t="shared" si="10"/>
        <v>417</v>
      </c>
      <c r="E16" s="70">
        <f t="shared" si="4"/>
        <v>911</v>
      </c>
      <c r="F16" s="139"/>
      <c r="G16" s="85" t="s">
        <v>151</v>
      </c>
      <c r="H16" s="251">
        <f t="shared" ref="H16:H25" si="11">+H42+H65+H88+H111</f>
        <v>86</v>
      </c>
      <c r="I16" s="268" t="s">
        <v>61</v>
      </c>
      <c r="J16" s="51">
        <f>SUM(D18:D21)</f>
        <v>1789</v>
      </c>
      <c r="K16" s="58"/>
      <c r="L16" s="166"/>
      <c r="N16" s="159"/>
      <c r="O16" s="153"/>
      <c r="P16" s="153"/>
      <c r="Q16" s="99"/>
    </row>
    <row r="17" spans="1:17" ht="15.75" thickBot="1" x14ac:dyDescent="0.3">
      <c r="B17" s="107" t="s">
        <v>18</v>
      </c>
      <c r="C17" s="70">
        <f t="shared" ref="C17:D17" si="12">+C43+C66+C89+C112</f>
        <v>472</v>
      </c>
      <c r="D17" s="70">
        <f t="shared" si="12"/>
        <v>410</v>
      </c>
      <c r="E17" s="70">
        <f t="shared" si="4"/>
        <v>882</v>
      </c>
      <c r="F17" s="139"/>
      <c r="G17" s="85" t="s">
        <v>152</v>
      </c>
      <c r="H17" s="251">
        <f t="shared" si="11"/>
        <v>113</v>
      </c>
      <c r="I17" s="47"/>
      <c r="J17" s="142"/>
      <c r="K17" s="58"/>
      <c r="L17" s="166"/>
      <c r="N17" s="159"/>
      <c r="O17" s="153"/>
      <c r="P17" s="153"/>
      <c r="Q17" s="99"/>
    </row>
    <row r="18" spans="1:17" x14ac:dyDescent="0.25">
      <c r="B18" s="107" t="s">
        <v>19</v>
      </c>
      <c r="C18" s="70">
        <f t="shared" ref="C18:D18" si="13">+C44+C67+C90+C113</f>
        <v>478</v>
      </c>
      <c r="D18" s="70">
        <f t="shared" si="13"/>
        <v>472</v>
      </c>
      <c r="E18" s="70">
        <f t="shared" si="4"/>
        <v>950</v>
      </c>
      <c r="F18" s="139"/>
      <c r="G18" s="85" t="s">
        <v>89</v>
      </c>
      <c r="H18" s="251">
        <f t="shared" si="11"/>
        <v>141</v>
      </c>
      <c r="I18" s="267" t="s">
        <v>153</v>
      </c>
      <c r="J18" s="69">
        <f>+H22+H23+H24+E11+E12</f>
        <v>2420</v>
      </c>
      <c r="K18" s="58"/>
      <c r="L18" s="166"/>
      <c r="N18" s="159"/>
      <c r="O18" s="153"/>
      <c r="P18" s="153"/>
      <c r="Q18" s="99"/>
    </row>
    <row r="19" spans="1:17" ht="15.75" thickBot="1" x14ac:dyDescent="0.3">
      <c r="B19" s="107" t="s">
        <v>20</v>
      </c>
      <c r="C19" s="70">
        <f t="shared" ref="C19:D19" si="14">+C45+C68+C91+C114</f>
        <v>551</v>
      </c>
      <c r="D19" s="70">
        <f t="shared" si="14"/>
        <v>481</v>
      </c>
      <c r="E19" s="70">
        <f t="shared" si="4"/>
        <v>1032</v>
      </c>
      <c r="F19" s="139"/>
      <c r="G19" s="85" t="s">
        <v>90</v>
      </c>
      <c r="H19" s="251">
        <f t="shared" si="11"/>
        <v>175</v>
      </c>
      <c r="I19" s="268" t="s">
        <v>64</v>
      </c>
      <c r="J19" s="51">
        <f>SUM(E9:E12)</f>
        <v>3423</v>
      </c>
      <c r="K19" s="58"/>
      <c r="L19" s="166"/>
      <c r="N19" s="159"/>
      <c r="O19" s="153"/>
      <c r="P19" s="153"/>
      <c r="Q19" s="99"/>
    </row>
    <row r="20" spans="1:17" x14ac:dyDescent="0.25">
      <c r="B20" s="107" t="s">
        <v>21</v>
      </c>
      <c r="C20" s="70">
        <f t="shared" ref="C20:D20" si="15">+C46+C69+C92+C115</f>
        <v>478</v>
      </c>
      <c r="D20" s="70">
        <f t="shared" si="15"/>
        <v>446</v>
      </c>
      <c r="E20" s="70">
        <f t="shared" ref="E20:E26" si="16">SUM(C20:D20)</f>
        <v>924</v>
      </c>
      <c r="F20" s="139"/>
      <c r="G20" s="85" t="s">
        <v>169</v>
      </c>
      <c r="H20" s="251">
        <f t="shared" si="11"/>
        <v>162</v>
      </c>
      <c r="I20" s="255"/>
      <c r="J20" s="256"/>
      <c r="K20" s="58"/>
      <c r="L20" s="166"/>
      <c r="N20" s="159"/>
      <c r="O20" s="153"/>
      <c r="P20" s="153"/>
      <c r="Q20" s="99"/>
    </row>
    <row r="21" spans="1:17" x14ac:dyDescent="0.25">
      <c r="B21" s="107" t="s">
        <v>22</v>
      </c>
      <c r="C21" s="70">
        <f t="shared" ref="C21:D21" si="17">+C47+C70+C93+C116</f>
        <v>396</v>
      </c>
      <c r="D21" s="70">
        <f t="shared" si="17"/>
        <v>390</v>
      </c>
      <c r="E21" s="70">
        <f t="shared" si="16"/>
        <v>786</v>
      </c>
      <c r="F21" s="139"/>
      <c r="G21" s="85" t="s">
        <v>57</v>
      </c>
      <c r="H21" s="251">
        <f t="shared" si="11"/>
        <v>179</v>
      </c>
      <c r="I21" s="255"/>
      <c r="J21" s="257"/>
      <c r="K21" s="58"/>
      <c r="L21" s="166"/>
      <c r="N21" s="159"/>
      <c r="O21" s="153"/>
      <c r="P21" s="153"/>
      <c r="Q21" s="99"/>
    </row>
    <row r="22" spans="1:17" ht="15" customHeight="1" x14ac:dyDescent="0.25">
      <c r="B22" s="107" t="s">
        <v>23</v>
      </c>
      <c r="C22" s="70">
        <f t="shared" ref="C22:D22" si="18">+C48+C71+C94+C117</f>
        <v>313</v>
      </c>
      <c r="D22" s="70">
        <f t="shared" si="18"/>
        <v>321</v>
      </c>
      <c r="E22" s="70">
        <f t="shared" si="16"/>
        <v>634</v>
      </c>
      <c r="F22" s="139"/>
      <c r="G22" s="85" t="s">
        <v>168</v>
      </c>
      <c r="H22" s="251">
        <f t="shared" si="11"/>
        <v>175</v>
      </c>
      <c r="I22" s="254"/>
      <c r="J22" s="126"/>
      <c r="K22" s="58"/>
      <c r="L22" s="166"/>
      <c r="N22" s="159"/>
    </row>
    <row r="23" spans="1:17" x14ac:dyDescent="0.25">
      <c r="B23" s="107" t="s">
        <v>24</v>
      </c>
      <c r="C23" s="70">
        <f t="shared" ref="C23:D23" si="19">+C49+C72+C95+C118</f>
        <v>257</v>
      </c>
      <c r="D23" s="70">
        <f t="shared" si="19"/>
        <v>261</v>
      </c>
      <c r="E23" s="70">
        <f t="shared" si="16"/>
        <v>518</v>
      </c>
      <c r="F23" s="139"/>
      <c r="G23" s="85" t="s">
        <v>170</v>
      </c>
      <c r="H23" s="251">
        <f t="shared" si="11"/>
        <v>174</v>
      </c>
      <c r="I23" s="254"/>
      <c r="J23" s="254"/>
      <c r="K23" s="58"/>
      <c r="L23" s="166"/>
      <c r="N23" s="159"/>
    </row>
    <row r="24" spans="1:17" x14ac:dyDescent="0.25">
      <c r="B24" s="107" t="s">
        <v>25</v>
      </c>
      <c r="C24" s="70">
        <f t="shared" ref="C24:D24" si="20">+C50+C73+C96+C119</f>
        <v>178</v>
      </c>
      <c r="D24" s="70">
        <f t="shared" si="20"/>
        <v>197</v>
      </c>
      <c r="E24" s="70">
        <f t="shared" si="16"/>
        <v>375</v>
      </c>
      <c r="F24" s="111"/>
      <c r="G24" s="85" t="s">
        <v>171</v>
      </c>
      <c r="H24" s="251">
        <f t="shared" si="11"/>
        <v>193</v>
      </c>
      <c r="I24" s="126"/>
      <c r="J24" s="126"/>
      <c r="K24" s="58"/>
      <c r="L24" s="166"/>
      <c r="N24" s="159"/>
    </row>
    <row r="25" spans="1:17" x14ac:dyDescent="0.25">
      <c r="B25" s="107" t="s">
        <v>26</v>
      </c>
      <c r="C25" s="70">
        <f t="shared" ref="C25:D25" si="21">+C51+C74+C97+C120</f>
        <v>201</v>
      </c>
      <c r="D25" s="70">
        <f t="shared" si="21"/>
        <v>268</v>
      </c>
      <c r="E25" s="70">
        <f t="shared" si="16"/>
        <v>469</v>
      </c>
      <c r="F25" s="111"/>
      <c r="G25" s="85" t="s">
        <v>58</v>
      </c>
      <c r="H25" s="251">
        <f t="shared" si="11"/>
        <v>171</v>
      </c>
      <c r="I25" s="126"/>
      <c r="J25" s="126"/>
      <c r="K25" s="58"/>
      <c r="L25" s="166"/>
      <c r="N25" s="159"/>
    </row>
    <row r="26" spans="1:17" ht="15.75" thickBot="1" x14ac:dyDescent="0.3">
      <c r="B26" s="107" t="s">
        <v>98</v>
      </c>
      <c r="C26" s="70">
        <f t="shared" ref="C26:D26" si="22">+C52+C75+C98+C121</f>
        <v>0</v>
      </c>
      <c r="D26" s="70">
        <f t="shared" si="22"/>
        <v>0</v>
      </c>
      <c r="E26" s="70">
        <f t="shared" si="16"/>
        <v>0</v>
      </c>
      <c r="F26" s="111"/>
      <c r="G26" s="144" t="s">
        <v>63</v>
      </c>
      <c r="H26" s="252">
        <f>+H52+H75+H98+H121</f>
        <v>155</v>
      </c>
      <c r="I26" s="254"/>
      <c r="J26" s="254"/>
      <c r="K26" s="58"/>
      <c r="L26" s="166"/>
      <c r="N26" s="159"/>
    </row>
    <row r="27" spans="1:17" ht="15.75" thickBot="1" x14ac:dyDescent="0.3">
      <c r="B27" s="112" t="s">
        <v>14</v>
      </c>
      <c r="C27" s="74">
        <f>SUM(C9:C26)</f>
        <v>7217</v>
      </c>
      <c r="D27" s="74">
        <f>SUM(D9:D26)</f>
        <v>6848</v>
      </c>
      <c r="E27" s="74">
        <f>SUM(E9:E26)</f>
        <v>14065</v>
      </c>
      <c r="F27" s="111"/>
      <c r="G27" s="111"/>
      <c r="H27" s="111"/>
      <c r="I27" s="167"/>
      <c r="J27" s="60"/>
      <c r="K27" s="58"/>
      <c r="L27" s="166"/>
      <c r="N27" s="159"/>
      <c r="O27" s="87"/>
      <c r="P27" s="87"/>
      <c r="Q27" s="87"/>
    </row>
    <row r="28" spans="1:17" x14ac:dyDescent="0.25">
      <c r="C28" s="87"/>
      <c r="K28" s="58"/>
      <c r="L28" s="142"/>
      <c r="M28" s="142"/>
      <c r="N28" s="142"/>
      <c r="O28" s="142"/>
      <c r="P28" s="142"/>
      <c r="Q28" s="142"/>
    </row>
    <row r="29" spans="1:17" s="28" customFormat="1" x14ac:dyDescent="0.25">
      <c r="B29" s="60" t="s">
        <v>140</v>
      </c>
      <c r="C29" s="58"/>
      <c r="D29" s="58"/>
      <c r="E29" s="58"/>
      <c r="F29" s="58"/>
      <c r="G29" s="58"/>
      <c r="H29" s="58"/>
      <c r="I29" s="58"/>
      <c r="J29" s="58"/>
      <c r="K29" s="168"/>
      <c r="L29" s="142"/>
      <c r="M29" s="142"/>
      <c r="N29" s="142"/>
      <c r="O29" s="142"/>
      <c r="P29" s="142"/>
      <c r="Q29" s="142"/>
    </row>
    <row r="30" spans="1:17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98"/>
      <c r="L30" s="142"/>
      <c r="M30" s="142"/>
      <c r="N30" s="142"/>
      <c r="O30" s="142"/>
      <c r="P30" s="142"/>
      <c r="Q30" s="142"/>
    </row>
    <row r="31" spans="1:17" x14ac:dyDescent="0.25">
      <c r="B31" s="169" t="s">
        <v>141</v>
      </c>
      <c r="C31" s="170"/>
      <c r="D31" s="170"/>
      <c r="E31" s="143"/>
      <c r="F31" s="143"/>
      <c r="G31" s="98"/>
      <c r="H31" s="98"/>
      <c r="I31" s="98"/>
      <c r="J31" s="98"/>
      <c r="K31" s="98"/>
      <c r="L31" s="142"/>
      <c r="M31" s="142"/>
      <c r="N31" s="142"/>
      <c r="O31" s="142"/>
      <c r="P31" s="142"/>
      <c r="Q31" s="142"/>
    </row>
    <row r="32" spans="1:17" s="47" customFormat="1" ht="20.25" customHeight="1" thickBot="1" x14ac:dyDescent="0.3">
      <c r="B32" s="135" t="s">
        <v>146</v>
      </c>
      <c r="E32" s="174"/>
      <c r="F32" s="174"/>
      <c r="G32" s="58"/>
      <c r="L32" s="142"/>
      <c r="M32" s="142"/>
      <c r="N32" s="142"/>
      <c r="O32" s="142"/>
      <c r="P32" s="142"/>
      <c r="Q32" s="142"/>
    </row>
    <row r="33" spans="2:11" s="142" customFormat="1" ht="28.5" customHeight="1" thickBot="1" x14ac:dyDescent="0.3">
      <c r="B33" s="271" t="s">
        <v>45</v>
      </c>
      <c r="C33" s="273" t="s">
        <v>142</v>
      </c>
      <c r="D33" s="274"/>
      <c r="E33" s="275"/>
      <c r="F33" s="139"/>
      <c r="G33" s="271" t="s">
        <v>45</v>
      </c>
      <c r="H33" s="273" t="s">
        <v>142</v>
      </c>
      <c r="I33" s="274"/>
      <c r="J33" s="275"/>
    </row>
    <row r="34" spans="2:11" s="142" customFormat="1" ht="15.75" thickBot="1" x14ac:dyDescent="0.3">
      <c r="B34" s="272"/>
      <c r="C34" s="145" t="s">
        <v>2</v>
      </c>
      <c r="D34" s="146" t="s">
        <v>3</v>
      </c>
      <c r="E34" s="147" t="s">
        <v>4</v>
      </c>
      <c r="F34" s="139"/>
      <c r="G34" s="272"/>
      <c r="H34" s="145" t="s">
        <v>2</v>
      </c>
      <c r="I34" s="146" t="s">
        <v>3</v>
      </c>
      <c r="J34" s="147" t="s">
        <v>4</v>
      </c>
    </row>
    <row r="35" spans="2:11" s="142" customFormat="1" x14ac:dyDescent="0.25">
      <c r="B35" s="114" t="s">
        <v>5</v>
      </c>
      <c r="C35" s="115">
        <v>136</v>
      </c>
      <c r="D35" s="116">
        <v>140</v>
      </c>
      <c r="E35" s="69">
        <f t="shared" ref="E35:E52" si="23">SUM(C35:D35)</f>
        <v>276</v>
      </c>
      <c r="F35" s="148"/>
      <c r="G35" s="117" t="s">
        <v>6</v>
      </c>
      <c r="H35" s="57">
        <f>SUM(C35:C36)</f>
        <v>488</v>
      </c>
      <c r="I35" s="69">
        <f>SUM(D35:D36)</f>
        <v>517</v>
      </c>
      <c r="J35" s="69">
        <f t="shared" ref="J35:J38" si="24">SUM(H35:I35)</f>
        <v>1005</v>
      </c>
      <c r="K35" s="175"/>
    </row>
    <row r="36" spans="2:11" s="142" customFormat="1" x14ac:dyDescent="0.25">
      <c r="B36" s="118" t="s">
        <v>7</v>
      </c>
      <c r="C36" s="119">
        <v>352</v>
      </c>
      <c r="D36" s="116">
        <v>377</v>
      </c>
      <c r="E36" s="70">
        <f t="shared" si="23"/>
        <v>729</v>
      </c>
      <c r="F36" s="139"/>
      <c r="G36" s="120" t="s">
        <v>8</v>
      </c>
      <c r="H36" s="57">
        <f>SUM(C37:C38)</f>
        <v>837</v>
      </c>
      <c r="I36" s="70">
        <f>SUM(D37:D38)</f>
        <v>765</v>
      </c>
      <c r="J36" s="70">
        <f t="shared" si="24"/>
        <v>1602</v>
      </c>
    </row>
    <row r="37" spans="2:11" s="142" customFormat="1" x14ac:dyDescent="0.25">
      <c r="B37" s="114" t="s">
        <v>59</v>
      </c>
      <c r="C37" s="119">
        <v>416</v>
      </c>
      <c r="D37" s="116">
        <v>375</v>
      </c>
      <c r="E37" s="70">
        <f t="shared" si="23"/>
        <v>791</v>
      </c>
      <c r="F37" s="139"/>
      <c r="G37" s="120" t="s">
        <v>10</v>
      </c>
      <c r="H37" s="57">
        <f>SUM(C39:C47)</f>
        <v>3802</v>
      </c>
      <c r="I37" s="70">
        <f>SUM(D39:D47)</f>
        <v>3554</v>
      </c>
      <c r="J37" s="70">
        <f t="shared" si="24"/>
        <v>7356</v>
      </c>
    </row>
    <row r="38" spans="2:11" s="142" customFormat="1" ht="15.75" thickBot="1" x14ac:dyDescent="0.3">
      <c r="B38" s="114" t="s">
        <v>11</v>
      </c>
      <c r="C38" s="119">
        <v>421</v>
      </c>
      <c r="D38" s="116">
        <v>390</v>
      </c>
      <c r="E38" s="70">
        <f t="shared" si="23"/>
        <v>811</v>
      </c>
      <c r="F38" s="139"/>
      <c r="G38" s="120" t="s">
        <v>12</v>
      </c>
      <c r="H38" s="57">
        <f>SUM(C48:C51)</f>
        <v>866</v>
      </c>
      <c r="I38" s="70">
        <f>SUM(D48:D51)</f>
        <v>974</v>
      </c>
      <c r="J38" s="70">
        <f t="shared" si="24"/>
        <v>1840</v>
      </c>
    </row>
    <row r="39" spans="2:11" s="142" customFormat="1" ht="15.75" thickBot="1" x14ac:dyDescent="0.3">
      <c r="B39" s="114" t="s">
        <v>13</v>
      </c>
      <c r="C39" s="119">
        <v>484</v>
      </c>
      <c r="D39" s="116">
        <v>414</v>
      </c>
      <c r="E39" s="70">
        <f t="shared" si="23"/>
        <v>898</v>
      </c>
      <c r="F39" s="139"/>
      <c r="G39" s="121" t="s">
        <v>14</v>
      </c>
      <c r="H39" s="72">
        <f>SUM(H35:H38)</f>
        <v>5993</v>
      </c>
      <c r="I39" s="72">
        <f t="shared" ref="I39:J39" si="25">SUM(I35:I38)</f>
        <v>5810</v>
      </c>
      <c r="J39" s="72">
        <f t="shared" si="25"/>
        <v>11803</v>
      </c>
    </row>
    <row r="40" spans="2:11" s="142" customFormat="1" ht="15.75" thickBot="1" x14ac:dyDescent="0.3">
      <c r="B40" s="114" t="s">
        <v>15</v>
      </c>
      <c r="C40" s="119">
        <v>488</v>
      </c>
      <c r="D40" s="116">
        <v>428</v>
      </c>
      <c r="E40" s="70">
        <f t="shared" si="23"/>
        <v>916</v>
      </c>
      <c r="F40" s="139"/>
      <c r="K40" s="175"/>
    </row>
    <row r="41" spans="2:11" s="142" customFormat="1" x14ac:dyDescent="0.25">
      <c r="B41" s="114" t="s">
        <v>16</v>
      </c>
      <c r="C41" s="119">
        <v>390</v>
      </c>
      <c r="D41" s="116">
        <v>378</v>
      </c>
      <c r="E41" s="70">
        <f>SUM(C41:D41)</f>
        <v>768</v>
      </c>
      <c r="F41" s="139"/>
      <c r="G41" s="171" t="s">
        <v>150</v>
      </c>
      <c r="H41" s="250">
        <v>8</v>
      </c>
      <c r="I41" s="262" t="s">
        <v>60</v>
      </c>
      <c r="J41" s="69">
        <f>SUM(C39:C43)</f>
        <v>2138</v>
      </c>
    </row>
    <row r="42" spans="2:11" s="142" customFormat="1" ht="15.75" thickBot="1" x14ac:dyDescent="0.3">
      <c r="B42" s="114" t="s">
        <v>17</v>
      </c>
      <c r="C42" s="119">
        <v>388</v>
      </c>
      <c r="D42" s="116">
        <v>349</v>
      </c>
      <c r="E42" s="70">
        <f t="shared" si="23"/>
        <v>737</v>
      </c>
      <c r="F42" s="139"/>
      <c r="G42" s="172" t="s">
        <v>151</v>
      </c>
      <c r="H42" s="251">
        <v>3</v>
      </c>
      <c r="I42" s="263" t="s">
        <v>61</v>
      </c>
      <c r="J42" s="51">
        <f>SUM(D44:D47)</f>
        <v>1627</v>
      </c>
    </row>
    <row r="43" spans="2:11" s="142" customFormat="1" ht="15.75" thickBot="1" x14ac:dyDescent="0.3">
      <c r="B43" s="114" t="s">
        <v>18</v>
      </c>
      <c r="C43" s="119">
        <v>388</v>
      </c>
      <c r="D43" s="116">
        <v>358</v>
      </c>
      <c r="E43" s="70">
        <f t="shared" si="23"/>
        <v>746</v>
      </c>
      <c r="F43" s="139"/>
      <c r="G43" s="172" t="s">
        <v>152</v>
      </c>
      <c r="H43" s="251">
        <v>23</v>
      </c>
      <c r="I43" s="104"/>
      <c r="J43" s="94"/>
    </row>
    <row r="44" spans="2:11" s="142" customFormat="1" x14ac:dyDescent="0.25">
      <c r="B44" s="114" t="s">
        <v>19</v>
      </c>
      <c r="C44" s="119">
        <v>405</v>
      </c>
      <c r="D44" s="116">
        <v>416</v>
      </c>
      <c r="E44" s="70">
        <f t="shared" si="23"/>
        <v>821</v>
      </c>
      <c r="F44" s="139"/>
      <c r="G44" s="172" t="s">
        <v>89</v>
      </c>
      <c r="H44" s="251">
        <v>103</v>
      </c>
      <c r="I44" s="171" t="s">
        <v>153</v>
      </c>
      <c r="J44" s="198">
        <f>+H48+H49+H50+E37+E38</f>
        <v>2060</v>
      </c>
    </row>
    <row r="45" spans="2:11" s="142" customFormat="1" ht="15.75" thickBot="1" x14ac:dyDescent="0.3">
      <c r="B45" s="114" t="s">
        <v>20</v>
      </c>
      <c r="C45" s="119">
        <v>478</v>
      </c>
      <c r="D45" s="116">
        <v>442</v>
      </c>
      <c r="E45" s="70">
        <f t="shared" si="23"/>
        <v>920</v>
      </c>
      <c r="F45" s="139"/>
      <c r="G45" s="172" t="s">
        <v>90</v>
      </c>
      <c r="H45" s="251">
        <v>139</v>
      </c>
      <c r="I45" s="176" t="s">
        <v>64</v>
      </c>
      <c r="J45" s="199">
        <f>SUM(E35:E38)</f>
        <v>2607</v>
      </c>
    </row>
    <row r="46" spans="2:11" s="142" customFormat="1" x14ac:dyDescent="0.25">
      <c r="B46" s="114" t="s">
        <v>21</v>
      </c>
      <c r="C46" s="119">
        <v>419</v>
      </c>
      <c r="D46" s="116">
        <v>407</v>
      </c>
      <c r="E46" s="70">
        <f t="shared" si="23"/>
        <v>826</v>
      </c>
      <c r="F46" s="139"/>
      <c r="G46" s="172" t="s">
        <v>169</v>
      </c>
      <c r="H46" s="251">
        <v>128</v>
      </c>
    </row>
    <row r="47" spans="2:11" s="142" customFormat="1" x14ac:dyDescent="0.25">
      <c r="B47" s="114" t="s">
        <v>22</v>
      </c>
      <c r="C47" s="119">
        <v>362</v>
      </c>
      <c r="D47" s="116">
        <v>362</v>
      </c>
      <c r="E47" s="70">
        <f t="shared" si="23"/>
        <v>724</v>
      </c>
      <c r="F47" s="139"/>
      <c r="G47" s="172" t="s">
        <v>57</v>
      </c>
      <c r="H47" s="251">
        <v>143</v>
      </c>
    </row>
    <row r="48" spans="2:11" s="142" customFormat="1" x14ac:dyDescent="0.25">
      <c r="B48" s="114" t="s">
        <v>23</v>
      </c>
      <c r="C48" s="119">
        <v>280</v>
      </c>
      <c r="D48" s="116">
        <v>295</v>
      </c>
      <c r="E48" s="70">
        <f t="shared" si="23"/>
        <v>575</v>
      </c>
      <c r="F48" s="139"/>
      <c r="G48" s="172" t="s">
        <v>168</v>
      </c>
      <c r="H48" s="251">
        <v>149</v>
      </c>
    </row>
    <row r="49" spans="2:11" s="142" customFormat="1" x14ac:dyDescent="0.25">
      <c r="B49" s="114" t="s">
        <v>24</v>
      </c>
      <c r="C49" s="119">
        <v>232</v>
      </c>
      <c r="D49" s="116">
        <v>244</v>
      </c>
      <c r="E49" s="70">
        <f t="shared" si="23"/>
        <v>476</v>
      </c>
      <c r="F49" s="139"/>
      <c r="G49" s="172" t="s">
        <v>170</v>
      </c>
      <c r="H49" s="251">
        <v>146</v>
      </c>
    </row>
    <row r="50" spans="2:11" s="142" customFormat="1" x14ac:dyDescent="0.25">
      <c r="B50" s="114" t="s">
        <v>25</v>
      </c>
      <c r="C50" s="119">
        <v>162</v>
      </c>
      <c r="D50" s="116">
        <v>183</v>
      </c>
      <c r="E50" s="70">
        <f t="shared" si="23"/>
        <v>345</v>
      </c>
      <c r="F50" s="139"/>
      <c r="G50" s="172" t="s">
        <v>171</v>
      </c>
      <c r="H50" s="251">
        <v>163</v>
      </c>
    </row>
    <row r="51" spans="2:11" s="142" customFormat="1" x14ac:dyDescent="0.25">
      <c r="B51" s="114" t="s">
        <v>26</v>
      </c>
      <c r="C51" s="119">
        <v>192</v>
      </c>
      <c r="D51" s="116">
        <v>252</v>
      </c>
      <c r="E51" s="70">
        <f t="shared" si="23"/>
        <v>444</v>
      </c>
      <c r="F51" s="139"/>
      <c r="G51" s="172" t="s">
        <v>58</v>
      </c>
      <c r="H51" s="251">
        <v>139</v>
      </c>
    </row>
    <row r="52" spans="2:11" s="142" customFormat="1" ht="15.75" thickBot="1" x14ac:dyDescent="0.3">
      <c r="B52" s="114" t="s">
        <v>98</v>
      </c>
      <c r="C52" s="51"/>
      <c r="D52" s="51"/>
      <c r="E52" s="51">
        <f t="shared" si="23"/>
        <v>0</v>
      </c>
      <c r="F52" s="139"/>
      <c r="G52" s="176" t="s">
        <v>63</v>
      </c>
      <c r="H52" s="252">
        <v>140</v>
      </c>
      <c r="I52" s="139"/>
    </row>
    <row r="53" spans="2:11" s="142" customFormat="1" ht="15.75" thickBot="1" x14ac:dyDescent="0.3">
      <c r="B53" s="123" t="s">
        <v>14</v>
      </c>
      <c r="C53" s="73">
        <f>SUM(C35:C52)</f>
        <v>5993</v>
      </c>
      <c r="D53" s="73">
        <f>SUM(D35:D52)</f>
        <v>5810</v>
      </c>
      <c r="E53" s="73">
        <f>SUM(E35:E52)</f>
        <v>11803</v>
      </c>
      <c r="F53" s="139"/>
      <c r="G53" s="139"/>
      <c r="H53" s="139"/>
    </row>
    <row r="55" spans="2:11" s="47" customFormat="1" ht="20.25" customHeight="1" thickBot="1" x14ac:dyDescent="0.3">
      <c r="B55" s="135" t="s">
        <v>147</v>
      </c>
      <c r="E55" s="174"/>
      <c r="F55" s="174"/>
      <c r="G55" s="58"/>
    </row>
    <row r="56" spans="2:11" s="142" customFormat="1" ht="28.5" customHeight="1" thickBot="1" x14ac:dyDescent="0.3">
      <c r="B56" s="271" t="s">
        <v>45</v>
      </c>
      <c r="C56" s="273" t="s">
        <v>143</v>
      </c>
      <c r="D56" s="274"/>
      <c r="E56" s="275"/>
      <c r="F56" s="139"/>
      <c r="G56" s="271" t="s">
        <v>45</v>
      </c>
      <c r="H56" s="273" t="s">
        <v>143</v>
      </c>
      <c r="I56" s="274"/>
      <c r="J56" s="275"/>
    </row>
    <row r="57" spans="2:11" s="142" customFormat="1" ht="15.75" thickBot="1" x14ac:dyDescent="0.3">
      <c r="B57" s="272"/>
      <c r="C57" s="145" t="s">
        <v>2</v>
      </c>
      <c r="D57" s="146" t="s">
        <v>3</v>
      </c>
      <c r="E57" s="147" t="s">
        <v>4</v>
      </c>
      <c r="F57" s="139"/>
      <c r="G57" s="272"/>
      <c r="H57" s="145" t="s">
        <v>2</v>
      </c>
      <c r="I57" s="146" t="s">
        <v>3</v>
      </c>
      <c r="J57" s="147" t="s">
        <v>4</v>
      </c>
    </row>
    <row r="58" spans="2:11" s="142" customFormat="1" x14ac:dyDescent="0.25">
      <c r="B58" s="114" t="s">
        <v>5</v>
      </c>
      <c r="C58" s="115">
        <v>205</v>
      </c>
      <c r="D58" s="116">
        <v>167</v>
      </c>
      <c r="E58" s="69">
        <f t="shared" ref="E58:E63" si="26">SUM(C58:D58)</f>
        <v>372</v>
      </c>
      <c r="F58" s="148"/>
      <c r="G58" s="117" t="s">
        <v>6</v>
      </c>
      <c r="H58" s="57">
        <f>SUM(C58:C59)</f>
        <v>279</v>
      </c>
      <c r="I58" s="69">
        <f>SUM(D58:D59)</f>
        <v>237</v>
      </c>
      <c r="J58" s="69">
        <f t="shared" ref="J58:J61" si="27">SUM(H58:I58)</f>
        <v>516</v>
      </c>
      <c r="K58" s="175"/>
    </row>
    <row r="59" spans="2:11" s="142" customFormat="1" x14ac:dyDescent="0.25">
      <c r="B59" s="118" t="s">
        <v>7</v>
      </c>
      <c r="C59" s="119">
        <v>74</v>
      </c>
      <c r="D59" s="116">
        <v>70</v>
      </c>
      <c r="E59" s="70">
        <f t="shared" si="26"/>
        <v>144</v>
      </c>
      <c r="F59" s="139"/>
      <c r="G59" s="120" t="s">
        <v>8</v>
      </c>
      <c r="H59" s="57">
        <f>SUM(C60:C61)</f>
        <v>122</v>
      </c>
      <c r="I59" s="70">
        <f>SUM(D60:D61)</f>
        <v>142</v>
      </c>
      <c r="J59" s="70">
        <f t="shared" si="27"/>
        <v>264</v>
      </c>
    </row>
    <row r="60" spans="2:11" s="142" customFormat="1" x14ac:dyDescent="0.25">
      <c r="B60" s="114" t="s">
        <v>59</v>
      </c>
      <c r="C60" s="119">
        <v>62</v>
      </c>
      <c r="D60" s="116">
        <v>60</v>
      </c>
      <c r="E60" s="70">
        <f t="shared" si="26"/>
        <v>122</v>
      </c>
      <c r="F60" s="139"/>
      <c r="G60" s="120" t="s">
        <v>10</v>
      </c>
      <c r="H60" s="57">
        <f>SUM(C62:C70)</f>
        <v>689</v>
      </c>
      <c r="I60" s="70">
        <f>SUM(D62:D70)</f>
        <v>524</v>
      </c>
      <c r="J60" s="70">
        <f t="shared" si="27"/>
        <v>1213</v>
      </c>
    </row>
    <row r="61" spans="2:11" s="142" customFormat="1" ht="15.75" thickBot="1" x14ac:dyDescent="0.3">
      <c r="B61" s="114" t="s">
        <v>11</v>
      </c>
      <c r="C61" s="119">
        <v>60</v>
      </c>
      <c r="D61" s="116">
        <v>82</v>
      </c>
      <c r="E61" s="70">
        <f t="shared" si="26"/>
        <v>142</v>
      </c>
      <c r="F61" s="139"/>
      <c r="G61" s="120" t="s">
        <v>12</v>
      </c>
      <c r="H61" s="57">
        <f>SUM(C71:C74)</f>
        <v>73</v>
      </c>
      <c r="I61" s="70">
        <f>SUM(D71:D74)</f>
        <v>67</v>
      </c>
      <c r="J61" s="70">
        <f t="shared" si="27"/>
        <v>140</v>
      </c>
    </row>
    <row r="62" spans="2:11" s="142" customFormat="1" ht="15.75" thickBot="1" x14ac:dyDescent="0.3">
      <c r="B62" s="114" t="s">
        <v>13</v>
      </c>
      <c r="C62" s="119">
        <v>77</v>
      </c>
      <c r="D62" s="116">
        <v>70</v>
      </c>
      <c r="E62" s="70">
        <f t="shared" si="26"/>
        <v>147</v>
      </c>
      <c r="F62" s="139"/>
      <c r="G62" s="121" t="s">
        <v>14</v>
      </c>
      <c r="H62" s="72">
        <f>SUM(H58:H61)</f>
        <v>1163</v>
      </c>
      <c r="I62" s="72">
        <f t="shared" ref="I62:J62" si="28">SUM(I58:I61)</f>
        <v>970</v>
      </c>
      <c r="J62" s="72">
        <f t="shared" si="28"/>
        <v>2133</v>
      </c>
    </row>
    <row r="63" spans="2:11" s="142" customFormat="1" ht="15.75" thickBot="1" x14ac:dyDescent="0.3">
      <c r="B63" s="114" t="s">
        <v>15</v>
      </c>
      <c r="C63" s="119">
        <v>104</v>
      </c>
      <c r="D63" s="116">
        <v>112</v>
      </c>
      <c r="E63" s="70">
        <f t="shared" si="26"/>
        <v>216</v>
      </c>
      <c r="F63" s="139"/>
      <c r="K63" s="175"/>
    </row>
    <row r="64" spans="2:11" s="142" customFormat="1" x14ac:dyDescent="0.25">
      <c r="B64" s="114" t="s">
        <v>16</v>
      </c>
      <c r="C64" s="119">
        <v>108</v>
      </c>
      <c r="D64" s="116">
        <v>85</v>
      </c>
      <c r="E64" s="70">
        <f>SUM(C64:D64)</f>
        <v>193</v>
      </c>
      <c r="F64" s="139"/>
      <c r="G64" s="171" t="s">
        <v>150</v>
      </c>
      <c r="H64" s="250">
        <v>137</v>
      </c>
      <c r="I64" s="262" t="s">
        <v>60</v>
      </c>
      <c r="J64" s="69">
        <f>SUM(C62:C66)</f>
        <v>473</v>
      </c>
    </row>
    <row r="65" spans="2:10" s="142" customFormat="1" ht="15.75" thickBot="1" x14ac:dyDescent="0.3">
      <c r="B65" s="114" t="s">
        <v>17</v>
      </c>
      <c r="C65" s="119">
        <v>103</v>
      </c>
      <c r="D65" s="116">
        <v>65</v>
      </c>
      <c r="E65" s="70">
        <f t="shared" ref="E65:E75" si="29">SUM(C65:D65)</f>
        <v>168</v>
      </c>
      <c r="F65" s="139"/>
      <c r="G65" s="172" t="s">
        <v>151</v>
      </c>
      <c r="H65" s="251">
        <v>78</v>
      </c>
      <c r="I65" s="263" t="s">
        <v>61</v>
      </c>
      <c r="J65" s="51">
        <f>SUM(D67:D70)</f>
        <v>142</v>
      </c>
    </row>
    <row r="66" spans="2:10" s="142" customFormat="1" ht="15.75" thickBot="1" x14ac:dyDescent="0.3">
      <c r="B66" s="114" t="s">
        <v>18</v>
      </c>
      <c r="C66" s="119">
        <v>81</v>
      </c>
      <c r="D66" s="116">
        <v>50</v>
      </c>
      <c r="E66" s="70">
        <f t="shared" si="29"/>
        <v>131</v>
      </c>
      <c r="F66" s="139"/>
      <c r="G66" s="172" t="s">
        <v>152</v>
      </c>
      <c r="H66" s="251">
        <v>88</v>
      </c>
      <c r="I66" s="104"/>
      <c r="J66" s="94"/>
    </row>
    <row r="67" spans="2:10" s="142" customFormat="1" x14ac:dyDescent="0.25">
      <c r="B67" s="114" t="s">
        <v>19</v>
      </c>
      <c r="C67" s="119">
        <v>70</v>
      </c>
      <c r="D67" s="116">
        <v>47</v>
      </c>
      <c r="E67" s="70">
        <f t="shared" si="29"/>
        <v>117</v>
      </c>
      <c r="F67" s="139"/>
      <c r="G67" s="172" t="s">
        <v>89</v>
      </c>
      <c r="H67" s="251">
        <v>35</v>
      </c>
      <c r="I67" s="171" t="s">
        <v>153</v>
      </c>
      <c r="J67" s="198">
        <f>+H71+H72+H73+E60+E61</f>
        <v>346</v>
      </c>
    </row>
    <row r="68" spans="2:10" s="142" customFormat="1" ht="15.75" thickBot="1" x14ac:dyDescent="0.3">
      <c r="B68" s="114" t="s">
        <v>20</v>
      </c>
      <c r="C68" s="119">
        <v>64</v>
      </c>
      <c r="D68" s="116">
        <v>38</v>
      </c>
      <c r="E68" s="70">
        <f t="shared" si="29"/>
        <v>102</v>
      </c>
      <c r="F68" s="139"/>
      <c r="G68" s="172" t="s">
        <v>90</v>
      </c>
      <c r="H68" s="251">
        <v>34</v>
      </c>
      <c r="I68" s="176" t="s">
        <v>64</v>
      </c>
      <c r="J68" s="199">
        <f>SUM(E58:E61)</f>
        <v>780</v>
      </c>
    </row>
    <row r="69" spans="2:10" s="142" customFormat="1" x14ac:dyDescent="0.25">
      <c r="B69" s="114" t="s">
        <v>21</v>
      </c>
      <c r="C69" s="119">
        <v>52</v>
      </c>
      <c r="D69" s="116">
        <v>32</v>
      </c>
      <c r="E69" s="70">
        <f t="shared" si="29"/>
        <v>84</v>
      </c>
      <c r="F69" s="139"/>
      <c r="G69" s="172" t="s">
        <v>169</v>
      </c>
      <c r="H69" s="251">
        <v>30</v>
      </c>
    </row>
    <row r="70" spans="2:10" s="142" customFormat="1" x14ac:dyDescent="0.25">
      <c r="B70" s="114" t="s">
        <v>22</v>
      </c>
      <c r="C70" s="119">
        <v>30</v>
      </c>
      <c r="D70" s="116">
        <v>25</v>
      </c>
      <c r="E70" s="70">
        <f t="shared" si="29"/>
        <v>55</v>
      </c>
      <c r="F70" s="139"/>
      <c r="G70" s="172" t="s">
        <v>57</v>
      </c>
      <c r="H70" s="251">
        <v>32</v>
      </c>
    </row>
    <row r="71" spans="2:10" s="142" customFormat="1" x14ac:dyDescent="0.25">
      <c r="B71" s="114" t="s">
        <v>23</v>
      </c>
      <c r="C71" s="119">
        <v>28</v>
      </c>
      <c r="D71" s="116">
        <v>25</v>
      </c>
      <c r="E71" s="70">
        <f t="shared" si="29"/>
        <v>53</v>
      </c>
      <c r="F71" s="139"/>
      <c r="G71" s="172" t="s">
        <v>168</v>
      </c>
      <c r="H71" s="251">
        <v>26</v>
      </c>
    </row>
    <row r="72" spans="2:10" s="142" customFormat="1" x14ac:dyDescent="0.25">
      <c r="B72" s="114" t="s">
        <v>24</v>
      </c>
      <c r="C72" s="119">
        <v>23</v>
      </c>
      <c r="D72" s="116">
        <v>15</v>
      </c>
      <c r="E72" s="70">
        <f t="shared" si="29"/>
        <v>38</v>
      </c>
      <c r="F72" s="139"/>
      <c r="G72" s="172" t="s">
        <v>170</v>
      </c>
      <c r="H72" s="251">
        <v>27</v>
      </c>
    </row>
    <row r="73" spans="2:10" s="142" customFormat="1" x14ac:dyDescent="0.25">
      <c r="B73" s="114" t="s">
        <v>25</v>
      </c>
      <c r="C73" s="119">
        <v>15</v>
      </c>
      <c r="D73" s="116">
        <v>13</v>
      </c>
      <c r="E73" s="70">
        <f t="shared" si="29"/>
        <v>28</v>
      </c>
      <c r="F73" s="139"/>
      <c r="G73" s="172" t="s">
        <v>171</v>
      </c>
      <c r="H73" s="251">
        <v>29</v>
      </c>
    </row>
    <row r="74" spans="2:10" s="142" customFormat="1" x14ac:dyDescent="0.25">
      <c r="B74" s="114" t="s">
        <v>26</v>
      </c>
      <c r="C74" s="119">
        <v>7</v>
      </c>
      <c r="D74" s="116">
        <v>14</v>
      </c>
      <c r="E74" s="70">
        <f t="shared" si="29"/>
        <v>21</v>
      </c>
      <c r="F74" s="139"/>
      <c r="G74" s="172" t="s">
        <v>58</v>
      </c>
      <c r="H74" s="251">
        <v>31</v>
      </c>
    </row>
    <row r="75" spans="2:10" s="142" customFormat="1" ht="15.75" thickBot="1" x14ac:dyDescent="0.3">
      <c r="B75" s="114" t="s">
        <v>98</v>
      </c>
      <c r="C75" s="51"/>
      <c r="D75" s="51"/>
      <c r="E75" s="51">
        <f t="shared" si="29"/>
        <v>0</v>
      </c>
      <c r="F75" s="139"/>
      <c r="G75" s="176" t="s">
        <v>63</v>
      </c>
      <c r="H75" s="252">
        <v>13</v>
      </c>
      <c r="I75" s="139"/>
    </row>
    <row r="76" spans="2:10" s="142" customFormat="1" ht="15.75" thickBot="1" x14ac:dyDescent="0.3">
      <c r="B76" s="123" t="s">
        <v>14</v>
      </c>
      <c r="C76" s="73">
        <f>SUM(C58:C75)</f>
        <v>1163</v>
      </c>
      <c r="D76" s="73">
        <f>SUM(D58:D75)</f>
        <v>970</v>
      </c>
      <c r="E76" s="73">
        <f>SUM(E58:E75)</f>
        <v>2133</v>
      </c>
      <c r="F76" s="139"/>
      <c r="G76" s="139"/>
      <c r="H76" s="139"/>
    </row>
    <row r="78" spans="2:10" s="47" customFormat="1" ht="20.25" customHeight="1" thickBot="1" x14ac:dyDescent="0.3">
      <c r="B78" s="135" t="s">
        <v>148</v>
      </c>
      <c r="E78" s="174"/>
      <c r="F78" s="174"/>
      <c r="G78" s="58"/>
    </row>
    <row r="79" spans="2:10" s="142" customFormat="1" ht="28.5" customHeight="1" thickBot="1" x14ac:dyDescent="0.3">
      <c r="B79" s="271" t="s">
        <v>45</v>
      </c>
      <c r="C79" s="273" t="s">
        <v>144</v>
      </c>
      <c r="D79" s="274"/>
      <c r="E79" s="275"/>
      <c r="F79" s="139"/>
      <c r="G79" s="271" t="s">
        <v>45</v>
      </c>
      <c r="H79" s="273" t="s">
        <v>144</v>
      </c>
      <c r="I79" s="274"/>
      <c r="J79" s="275"/>
    </row>
    <row r="80" spans="2:10" s="142" customFormat="1" ht="15.75" thickBot="1" x14ac:dyDescent="0.3">
      <c r="B80" s="272"/>
      <c r="C80" s="145" t="s">
        <v>2</v>
      </c>
      <c r="D80" s="146" t="s">
        <v>3</v>
      </c>
      <c r="E80" s="147" t="s">
        <v>4</v>
      </c>
      <c r="F80" s="139"/>
      <c r="G80" s="272"/>
      <c r="H80" s="145" t="s">
        <v>2</v>
      </c>
      <c r="I80" s="146" t="s">
        <v>3</v>
      </c>
      <c r="J80" s="147" t="s">
        <v>4</v>
      </c>
    </row>
    <row r="81" spans="2:11" s="142" customFormat="1" x14ac:dyDescent="0.25">
      <c r="B81" s="114" t="s">
        <v>5</v>
      </c>
      <c r="C81" s="115">
        <v>1</v>
      </c>
      <c r="D81" s="116">
        <v>6</v>
      </c>
      <c r="E81" s="69">
        <f t="shared" ref="E81:E86" si="30">SUM(C81:D81)</f>
        <v>7</v>
      </c>
      <c r="F81" s="148"/>
      <c r="G81" s="117" t="s">
        <v>6</v>
      </c>
      <c r="H81" s="57">
        <f>SUM(C81:C82)</f>
        <v>4</v>
      </c>
      <c r="I81" s="69">
        <f>SUM(D81:D82)</f>
        <v>9</v>
      </c>
      <c r="J81" s="69">
        <f t="shared" ref="J81:J84" si="31">SUM(H81:I81)</f>
        <v>13</v>
      </c>
      <c r="K81" s="175"/>
    </row>
    <row r="82" spans="2:11" s="142" customFormat="1" x14ac:dyDescent="0.25">
      <c r="B82" s="118" t="s">
        <v>7</v>
      </c>
      <c r="C82" s="119">
        <v>3</v>
      </c>
      <c r="D82" s="116">
        <v>3</v>
      </c>
      <c r="E82" s="70">
        <f t="shared" si="30"/>
        <v>6</v>
      </c>
      <c r="F82" s="139"/>
      <c r="G82" s="120" t="s">
        <v>8</v>
      </c>
      <c r="H82" s="57">
        <f>SUM(C83:C84)</f>
        <v>0</v>
      </c>
      <c r="I82" s="70">
        <f>SUM(D83:D84)</f>
        <v>5</v>
      </c>
      <c r="J82" s="70">
        <f t="shared" si="31"/>
        <v>5</v>
      </c>
    </row>
    <row r="83" spans="2:11" s="142" customFormat="1" x14ac:dyDescent="0.25">
      <c r="B83" s="114" t="s">
        <v>59</v>
      </c>
      <c r="C83" s="119"/>
      <c r="D83" s="116">
        <v>2</v>
      </c>
      <c r="E83" s="70">
        <f t="shared" si="30"/>
        <v>2</v>
      </c>
      <c r="F83" s="139"/>
      <c r="G83" s="120" t="s">
        <v>10</v>
      </c>
      <c r="H83" s="57">
        <f>SUM(C85:C93)</f>
        <v>25</v>
      </c>
      <c r="I83" s="70">
        <f>SUM(D85:D93)</f>
        <v>25</v>
      </c>
      <c r="J83" s="70">
        <f t="shared" si="31"/>
        <v>50</v>
      </c>
    </row>
    <row r="84" spans="2:11" s="142" customFormat="1" ht="15.75" thickBot="1" x14ac:dyDescent="0.3">
      <c r="B84" s="114" t="s">
        <v>11</v>
      </c>
      <c r="C84" s="119"/>
      <c r="D84" s="116">
        <v>3</v>
      </c>
      <c r="E84" s="70">
        <f t="shared" si="30"/>
        <v>3</v>
      </c>
      <c r="F84" s="139"/>
      <c r="G84" s="120" t="s">
        <v>12</v>
      </c>
      <c r="H84" s="57">
        <f>SUM(C94:C97)</f>
        <v>6</v>
      </c>
      <c r="I84" s="70">
        <f>SUM(D94:D97)</f>
        <v>5</v>
      </c>
      <c r="J84" s="70">
        <f t="shared" si="31"/>
        <v>11</v>
      </c>
    </row>
    <row r="85" spans="2:11" s="142" customFormat="1" ht="15.75" thickBot="1" x14ac:dyDescent="0.3">
      <c r="B85" s="114" t="s">
        <v>13</v>
      </c>
      <c r="C85" s="119">
        <v>2</v>
      </c>
      <c r="D85" s="116">
        <v>1</v>
      </c>
      <c r="E85" s="70">
        <f t="shared" si="30"/>
        <v>3</v>
      </c>
      <c r="F85" s="139"/>
      <c r="G85" s="121" t="s">
        <v>14</v>
      </c>
      <c r="H85" s="72">
        <f>SUM(H81:H84)</f>
        <v>35</v>
      </c>
      <c r="I85" s="72">
        <f t="shared" ref="I85:J85" si="32">SUM(I81:I84)</f>
        <v>44</v>
      </c>
      <c r="J85" s="72">
        <f t="shared" si="32"/>
        <v>79</v>
      </c>
    </row>
    <row r="86" spans="2:11" s="142" customFormat="1" ht="15.75" thickBot="1" x14ac:dyDescent="0.3">
      <c r="B86" s="114" t="s">
        <v>15</v>
      </c>
      <c r="C86" s="119">
        <v>3</v>
      </c>
      <c r="D86" s="116">
        <v>5</v>
      </c>
      <c r="E86" s="70">
        <f t="shared" si="30"/>
        <v>8</v>
      </c>
      <c r="F86" s="139"/>
      <c r="K86" s="175"/>
    </row>
    <row r="87" spans="2:11" s="142" customFormat="1" x14ac:dyDescent="0.25">
      <c r="B87" s="114" t="s">
        <v>16</v>
      </c>
      <c r="C87" s="119">
        <v>2</v>
      </c>
      <c r="D87" s="116">
        <v>2</v>
      </c>
      <c r="E87" s="70">
        <f>SUM(C87:D87)</f>
        <v>4</v>
      </c>
      <c r="F87" s="139"/>
      <c r="G87" s="171" t="s">
        <v>150</v>
      </c>
      <c r="H87" s="250">
        <v>0</v>
      </c>
      <c r="I87" s="262" t="s">
        <v>60</v>
      </c>
      <c r="J87" s="69">
        <f>SUM(C85:C89)</f>
        <v>9</v>
      </c>
    </row>
    <row r="88" spans="2:11" s="142" customFormat="1" ht="15.75" thickBot="1" x14ac:dyDescent="0.3">
      <c r="B88" s="114" t="s">
        <v>17</v>
      </c>
      <c r="C88" s="119">
        <v>1</v>
      </c>
      <c r="D88" s="116">
        <v>1</v>
      </c>
      <c r="E88" s="70">
        <f t="shared" ref="E88:E98" si="33">SUM(C88:D88)</f>
        <v>2</v>
      </c>
      <c r="F88" s="139"/>
      <c r="G88" s="172" t="s">
        <v>151</v>
      </c>
      <c r="H88" s="251">
        <v>4</v>
      </c>
      <c r="I88" s="263" t="s">
        <v>61</v>
      </c>
      <c r="J88" s="51">
        <f>SUM(D90:D93)</f>
        <v>14</v>
      </c>
    </row>
    <row r="89" spans="2:11" s="142" customFormat="1" ht="15.75" thickBot="1" x14ac:dyDescent="0.3">
      <c r="B89" s="114" t="s">
        <v>18</v>
      </c>
      <c r="C89" s="119">
        <v>1</v>
      </c>
      <c r="D89" s="116">
        <v>2</v>
      </c>
      <c r="E89" s="70">
        <f t="shared" si="33"/>
        <v>3</v>
      </c>
      <c r="F89" s="139"/>
      <c r="G89" s="172" t="s">
        <v>152</v>
      </c>
      <c r="H89" s="251">
        <v>1</v>
      </c>
      <c r="I89" s="104"/>
      <c r="J89" s="94"/>
    </row>
    <row r="90" spans="2:11" s="142" customFormat="1" x14ac:dyDescent="0.25">
      <c r="B90" s="114" t="s">
        <v>19</v>
      </c>
      <c r="C90" s="119">
        <v>3</v>
      </c>
      <c r="D90" s="116">
        <v>6</v>
      </c>
      <c r="E90" s="70">
        <f t="shared" si="33"/>
        <v>9</v>
      </c>
      <c r="F90" s="139"/>
      <c r="G90" s="172" t="s">
        <v>89</v>
      </c>
      <c r="H90" s="251">
        <v>2</v>
      </c>
      <c r="I90" s="171" t="s">
        <v>153</v>
      </c>
      <c r="J90" s="198">
        <f>+H94+H95+H96+E83+E84</f>
        <v>6</v>
      </c>
    </row>
    <row r="91" spans="2:11" s="142" customFormat="1" ht="15.75" thickBot="1" x14ac:dyDescent="0.3">
      <c r="B91" s="114" t="s">
        <v>20</v>
      </c>
      <c r="C91" s="119">
        <v>5</v>
      </c>
      <c r="D91" s="116">
        <v>1</v>
      </c>
      <c r="E91" s="70">
        <f t="shared" si="33"/>
        <v>6</v>
      </c>
      <c r="F91" s="139"/>
      <c r="G91" s="172" t="s">
        <v>90</v>
      </c>
      <c r="H91" s="251">
        <v>0</v>
      </c>
      <c r="I91" s="176" t="s">
        <v>64</v>
      </c>
      <c r="J91" s="199">
        <f>SUM(E81:E84)</f>
        <v>18</v>
      </c>
    </row>
    <row r="92" spans="2:11" s="142" customFormat="1" x14ac:dyDescent="0.25">
      <c r="B92" s="114" t="s">
        <v>21</v>
      </c>
      <c r="C92" s="119">
        <v>5</v>
      </c>
      <c r="D92" s="116">
        <v>4</v>
      </c>
      <c r="E92" s="70">
        <f t="shared" si="33"/>
        <v>9</v>
      </c>
      <c r="F92" s="139"/>
      <c r="G92" s="172" t="s">
        <v>169</v>
      </c>
      <c r="H92" s="251">
        <v>2</v>
      </c>
    </row>
    <row r="93" spans="2:11" s="142" customFormat="1" x14ac:dyDescent="0.25">
      <c r="B93" s="114" t="s">
        <v>22</v>
      </c>
      <c r="C93" s="119">
        <v>3</v>
      </c>
      <c r="D93" s="116">
        <v>3</v>
      </c>
      <c r="E93" s="70">
        <f t="shared" si="33"/>
        <v>6</v>
      </c>
      <c r="F93" s="139"/>
      <c r="G93" s="172" t="s">
        <v>57</v>
      </c>
      <c r="H93" s="251">
        <v>3</v>
      </c>
    </row>
    <row r="94" spans="2:11" s="142" customFormat="1" x14ac:dyDescent="0.25">
      <c r="B94" s="114" t="s">
        <v>23</v>
      </c>
      <c r="C94" s="119">
        <v>3</v>
      </c>
      <c r="D94" s="116"/>
      <c r="E94" s="70">
        <f t="shared" si="33"/>
        <v>3</v>
      </c>
      <c r="F94" s="139"/>
      <c r="G94" s="172" t="s">
        <v>168</v>
      </c>
      <c r="H94" s="251">
        <v>0</v>
      </c>
    </row>
    <row r="95" spans="2:11" s="142" customFormat="1" x14ac:dyDescent="0.25">
      <c r="B95" s="114" t="s">
        <v>24</v>
      </c>
      <c r="C95" s="119">
        <v>1</v>
      </c>
      <c r="D95" s="116">
        <v>2</v>
      </c>
      <c r="E95" s="70">
        <f t="shared" si="33"/>
        <v>3</v>
      </c>
      <c r="F95" s="139"/>
      <c r="G95" s="172" t="s">
        <v>170</v>
      </c>
      <c r="H95" s="251">
        <v>1</v>
      </c>
    </row>
    <row r="96" spans="2:11" s="142" customFormat="1" x14ac:dyDescent="0.25">
      <c r="B96" s="114" t="s">
        <v>25</v>
      </c>
      <c r="C96" s="119">
        <v>1</v>
      </c>
      <c r="D96" s="116">
        <v>1</v>
      </c>
      <c r="E96" s="70">
        <f t="shared" si="33"/>
        <v>2</v>
      </c>
      <c r="F96" s="139"/>
      <c r="G96" s="172" t="s">
        <v>171</v>
      </c>
      <c r="H96" s="251">
        <v>0</v>
      </c>
    </row>
    <row r="97" spans="2:11" s="142" customFormat="1" x14ac:dyDescent="0.25">
      <c r="B97" s="114" t="s">
        <v>26</v>
      </c>
      <c r="C97" s="119">
        <v>1</v>
      </c>
      <c r="D97" s="116">
        <v>2</v>
      </c>
      <c r="E97" s="70">
        <f t="shared" si="33"/>
        <v>3</v>
      </c>
      <c r="F97" s="139"/>
      <c r="G97" s="172" t="s">
        <v>58</v>
      </c>
      <c r="H97" s="251">
        <v>0</v>
      </c>
    </row>
    <row r="98" spans="2:11" s="142" customFormat="1" ht="15.75" thickBot="1" x14ac:dyDescent="0.3">
      <c r="B98" s="114" t="s">
        <v>98</v>
      </c>
      <c r="C98" s="51"/>
      <c r="D98" s="51"/>
      <c r="E98" s="51">
        <f t="shared" si="33"/>
        <v>0</v>
      </c>
      <c r="F98" s="139"/>
      <c r="G98" s="176" t="s">
        <v>63</v>
      </c>
      <c r="H98" s="252">
        <v>2</v>
      </c>
      <c r="I98" s="139"/>
    </row>
    <row r="99" spans="2:11" s="142" customFormat="1" ht="15.75" thickBot="1" x14ac:dyDescent="0.3">
      <c r="B99" s="123" t="s">
        <v>14</v>
      </c>
      <c r="C99" s="73">
        <f>SUM(C81:C98)</f>
        <v>35</v>
      </c>
      <c r="D99" s="73">
        <f>SUM(D81:D98)</f>
        <v>44</v>
      </c>
      <c r="E99" s="73">
        <f>SUM(E81:E98)</f>
        <v>79</v>
      </c>
      <c r="F99" s="139"/>
      <c r="G99" s="139"/>
      <c r="H99" s="139"/>
    </row>
    <row r="101" spans="2:11" s="47" customFormat="1" ht="20.25" customHeight="1" thickBot="1" x14ac:dyDescent="0.3">
      <c r="B101" s="135" t="s">
        <v>149</v>
      </c>
      <c r="E101" s="174"/>
      <c r="F101" s="174"/>
      <c r="G101" s="58"/>
    </row>
    <row r="102" spans="2:11" s="142" customFormat="1" ht="28.5" customHeight="1" thickBot="1" x14ac:dyDescent="0.3">
      <c r="B102" s="271" t="s">
        <v>45</v>
      </c>
      <c r="C102" s="273" t="s">
        <v>145</v>
      </c>
      <c r="D102" s="274"/>
      <c r="E102" s="275"/>
      <c r="F102" s="139"/>
      <c r="G102" s="271" t="s">
        <v>45</v>
      </c>
      <c r="H102" s="273" t="s">
        <v>145</v>
      </c>
      <c r="I102" s="274"/>
      <c r="J102" s="275"/>
    </row>
    <row r="103" spans="2:11" s="142" customFormat="1" ht="15.75" thickBot="1" x14ac:dyDescent="0.3">
      <c r="B103" s="272"/>
      <c r="C103" s="145" t="s">
        <v>2</v>
      </c>
      <c r="D103" s="146" t="s">
        <v>3</v>
      </c>
      <c r="E103" s="147" t="s">
        <v>4</v>
      </c>
      <c r="F103" s="139"/>
      <c r="G103" s="272"/>
      <c r="H103" s="145" t="s">
        <v>2</v>
      </c>
      <c r="I103" s="146" t="s">
        <v>3</v>
      </c>
      <c r="J103" s="147" t="s">
        <v>4</v>
      </c>
    </row>
    <row r="104" spans="2:11" s="142" customFormat="1" x14ac:dyDescent="0.25">
      <c r="B104" s="114" t="s">
        <v>5</v>
      </c>
      <c r="C104" s="115">
        <v>3</v>
      </c>
      <c r="D104" s="116">
        <v>4</v>
      </c>
      <c r="E104" s="69">
        <f t="shared" ref="E104:E120" si="34">SUM(C104:D104)</f>
        <v>7</v>
      </c>
      <c r="F104" s="148"/>
      <c r="G104" s="117" t="s">
        <v>6</v>
      </c>
      <c r="H104" s="57">
        <f>SUM(C104:C105)</f>
        <v>4</v>
      </c>
      <c r="I104" s="69">
        <f>SUM(D104:D105)</f>
        <v>7</v>
      </c>
      <c r="J104" s="69">
        <f t="shared" ref="J104:J107" si="35">SUM(H104:I104)</f>
        <v>11</v>
      </c>
      <c r="K104" s="175"/>
    </row>
    <row r="105" spans="2:11" s="142" customFormat="1" x14ac:dyDescent="0.25">
      <c r="B105" s="118" t="s">
        <v>7</v>
      </c>
      <c r="C105" s="119">
        <v>1</v>
      </c>
      <c r="D105" s="116">
        <v>3</v>
      </c>
      <c r="E105" s="70">
        <f t="shared" si="34"/>
        <v>4</v>
      </c>
      <c r="F105" s="139"/>
      <c r="G105" s="120" t="s">
        <v>8</v>
      </c>
      <c r="H105" s="57">
        <f>SUM(C106:C107)</f>
        <v>5</v>
      </c>
      <c r="I105" s="70">
        <f>SUM(D106:D107)</f>
        <v>2</v>
      </c>
      <c r="J105" s="70">
        <f t="shared" si="35"/>
        <v>7</v>
      </c>
    </row>
    <row r="106" spans="2:11" s="142" customFormat="1" x14ac:dyDescent="0.25">
      <c r="B106" s="114" t="s">
        <v>59</v>
      </c>
      <c r="C106" s="119">
        <v>2</v>
      </c>
      <c r="D106" s="116">
        <v>1</v>
      </c>
      <c r="E106" s="70">
        <f t="shared" si="34"/>
        <v>3</v>
      </c>
      <c r="F106" s="139"/>
      <c r="G106" s="120" t="s">
        <v>10</v>
      </c>
      <c r="H106" s="57">
        <f>SUM(C109:C117)</f>
        <v>15</v>
      </c>
      <c r="I106" s="70">
        <f>SUM(D109:D117)</f>
        <v>15</v>
      </c>
      <c r="J106" s="70">
        <f t="shared" si="35"/>
        <v>30</v>
      </c>
    </row>
    <row r="107" spans="2:11" s="142" customFormat="1" ht="15.75" thickBot="1" x14ac:dyDescent="0.3">
      <c r="B107" s="114" t="s">
        <v>11</v>
      </c>
      <c r="C107" s="119">
        <v>3</v>
      </c>
      <c r="D107" s="116">
        <v>1</v>
      </c>
      <c r="E107" s="70">
        <f t="shared" si="34"/>
        <v>4</v>
      </c>
      <c r="F107" s="139"/>
      <c r="G107" s="120" t="s">
        <v>12</v>
      </c>
      <c r="H107" s="57">
        <f>SUM(C118:C120)</f>
        <v>2</v>
      </c>
      <c r="I107" s="70">
        <f>SUM(D118:D120)</f>
        <v>0</v>
      </c>
      <c r="J107" s="70">
        <f t="shared" si="35"/>
        <v>2</v>
      </c>
    </row>
    <row r="108" spans="2:11" s="142" customFormat="1" ht="15.75" thickBot="1" x14ac:dyDescent="0.3">
      <c r="B108" s="114" t="s">
        <v>13</v>
      </c>
      <c r="C108" s="119"/>
      <c r="D108" s="116"/>
      <c r="E108" s="70">
        <f t="shared" si="34"/>
        <v>0</v>
      </c>
      <c r="F108" s="139"/>
      <c r="G108" s="121" t="s">
        <v>14</v>
      </c>
      <c r="H108" s="72">
        <f>SUM(H104:H107)</f>
        <v>26</v>
      </c>
      <c r="I108" s="72">
        <f t="shared" ref="I108:J108" si="36">SUM(I104:I107)</f>
        <v>24</v>
      </c>
      <c r="J108" s="72">
        <f t="shared" si="36"/>
        <v>50</v>
      </c>
    </row>
    <row r="109" spans="2:11" s="142" customFormat="1" ht="15.75" thickBot="1" x14ac:dyDescent="0.3">
      <c r="B109" s="114" t="s">
        <v>15</v>
      </c>
      <c r="C109" s="119"/>
      <c r="D109" s="116">
        <v>2</v>
      </c>
      <c r="E109" s="70">
        <f t="shared" si="34"/>
        <v>2</v>
      </c>
      <c r="F109" s="139"/>
      <c r="K109" s="175"/>
    </row>
    <row r="110" spans="2:11" s="142" customFormat="1" x14ac:dyDescent="0.25">
      <c r="B110" s="114" t="s">
        <v>16</v>
      </c>
      <c r="C110" s="119">
        <v>2</v>
      </c>
      <c r="D110" s="116">
        <v>4</v>
      </c>
      <c r="E110" s="70">
        <f t="shared" si="34"/>
        <v>6</v>
      </c>
      <c r="F110" s="139"/>
      <c r="G110" s="171" t="s">
        <v>150</v>
      </c>
      <c r="H110" s="250">
        <v>2</v>
      </c>
      <c r="I110" s="262" t="s">
        <v>60</v>
      </c>
      <c r="J110" s="69">
        <f>SUM(C108:C112)</f>
        <v>6</v>
      </c>
    </row>
    <row r="111" spans="2:11" s="142" customFormat="1" ht="15.75" thickBot="1" x14ac:dyDescent="0.3">
      <c r="B111" s="114" t="s">
        <v>17</v>
      </c>
      <c r="C111" s="119">
        <v>2</v>
      </c>
      <c r="D111" s="116">
        <v>2</v>
      </c>
      <c r="E111" s="70">
        <f t="shared" si="34"/>
        <v>4</v>
      </c>
      <c r="F111" s="139"/>
      <c r="G111" s="172" t="s">
        <v>151</v>
      </c>
      <c r="H111" s="251">
        <v>1</v>
      </c>
      <c r="I111" s="263" t="s">
        <v>61</v>
      </c>
      <c r="J111" s="51">
        <f>SUM(D113:D116)</f>
        <v>6</v>
      </c>
    </row>
    <row r="112" spans="2:11" s="142" customFormat="1" ht="15.75" thickBot="1" x14ac:dyDescent="0.3">
      <c r="B112" s="114" t="s">
        <v>18</v>
      </c>
      <c r="C112" s="119">
        <v>2</v>
      </c>
      <c r="D112" s="116"/>
      <c r="E112" s="70">
        <f t="shared" si="34"/>
        <v>2</v>
      </c>
      <c r="F112" s="139"/>
      <c r="G112" s="172" t="s">
        <v>152</v>
      </c>
      <c r="H112" s="251">
        <v>1</v>
      </c>
      <c r="I112" s="104"/>
      <c r="J112" s="94"/>
    </row>
    <row r="113" spans="2:10" s="142" customFormat="1" x14ac:dyDescent="0.25">
      <c r="B113" s="114" t="s">
        <v>19</v>
      </c>
      <c r="C113" s="119"/>
      <c r="D113" s="116">
        <v>3</v>
      </c>
      <c r="E113" s="70">
        <f t="shared" si="34"/>
        <v>3</v>
      </c>
      <c r="F113" s="139"/>
      <c r="G113" s="172" t="s">
        <v>89</v>
      </c>
      <c r="H113" s="251">
        <v>1</v>
      </c>
      <c r="I113" s="171" t="s">
        <v>153</v>
      </c>
      <c r="J113" s="198">
        <f>+H117+H118+H119+E106+E107</f>
        <v>8</v>
      </c>
    </row>
    <row r="114" spans="2:10" s="142" customFormat="1" ht="15.75" thickBot="1" x14ac:dyDescent="0.3">
      <c r="B114" s="114" t="s">
        <v>20</v>
      </c>
      <c r="C114" s="119">
        <v>4</v>
      </c>
      <c r="D114" s="116"/>
      <c r="E114" s="70">
        <f t="shared" si="34"/>
        <v>4</v>
      </c>
      <c r="F114" s="139"/>
      <c r="G114" s="172" t="s">
        <v>90</v>
      </c>
      <c r="H114" s="251">
        <v>2</v>
      </c>
      <c r="I114" s="176" t="s">
        <v>64</v>
      </c>
      <c r="J114" s="199">
        <f>SUM(E104:E107)</f>
        <v>18</v>
      </c>
    </row>
    <row r="115" spans="2:10" s="142" customFormat="1" x14ac:dyDescent="0.25">
      <c r="B115" s="114" t="s">
        <v>21</v>
      </c>
      <c r="C115" s="119">
        <v>2</v>
      </c>
      <c r="D115" s="116">
        <v>3</v>
      </c>
      <c r="E115" s="70">
        <f t="shared" si="34"/>
        <v>5</v>
      </c>
      <c r="F115" s="139"/>
      <c r="G115" s="172" t="s">
        <v>169</v>
      </c>
      <c r="H115" s="251">
        <v>2</v>
      </c>
    </row>
    <row r="116" spans="2:10" s="142" customFormat="1" x14ac:dyDescent="0.25">
      <c r="B116" s="114" t="s">
        <v>22</v>
      </c>
      <c r="C116" s="119">
        <v>1</v>
      </c>
      <c r="D116" s="116"/>
      <c r="E116" s="70">
        <f t="shared" si="34"/>
        <v>1</v>
      </c>
      <c r="F116" s="139"/>
      <c r="G116" s="172" t="s">
        <v>57</v>
      </c>
      <c r="H116" s="251">
        <v>1</v>
      </c>
    </row>
    <row r="117" spans="2:10" s="142" customFormat="1" x14ac:dyDescent="0.25">
      <c r="B117" s="114" t="s">
        <v>23</v>
      </c>
      <c r="C117" s="119">
        <v>2</v>
      </c>
      <c r="D117" s="116">
        <v>1</v>
      </c>
      <c r="E117" s="70">
        <f t="shared" si="34"/>
        <v>3</v>
      </c>
      <c r="F117" s="139"/>
      <c r="G117" s="172" t="s">
        <v>168</v>
      </c>
      <c r="H117" s="251">
        <v>0</v>
      </c>
    </row>
    <row r="118" spans="2:10" s="142" customFormat="1" x14ac:dyDescent="0.25">
      <c r="B118" s="114" t="s">
        <v>24</v>
      </c>
      <c r="C118" s="119">
        <v>1</v>
      </c>
      <c r="D118" s="116"/>
      <c r="E118" s="70">
        <f t="shared" si="34"/>
        <v>1</v>
      </c>
      <c r="F118" s="139"/>
      <c r="G118" s="172" t="s">
        <v>170</v>
      </c>
      <c r="H118" s="251">
        <v>0</v>
      </c>
    </row>
    <row r="119" spans="2:10" s="142" customFormat="1" x14ac:dyDescent="0.25">
      <c r="B119" s="114" t="s">
        <v>25</v>
      </c>
      <c r="C119" s="119"/>
      <c r="D119" s="116"/>
      <c r="E119" s="70">
        <f t="shared" si="34"/>
        <v>0</v>
      </c>
      <c r="F119" s="139"/>
      <c r="G119" s="172" t="s">
        <v>171</v>
      </c>
      <c r="H119" s="251">
        <v>1</v>
      </c>
    </row>
    <row r="120" spans="2:10" s="142" customFormat="1" x14ac:dyDescent="0.25">
      <c r="B120" s="114" t="s">
        <v>26</v>
      </c>
      <c r="C120" s="119">
        <v>1</v>
      </c>
      <c r="D120" s="116"/>
      <c r="E120" s="70">
        <f t="shared" si="34"/>
        <v>1</v>
      </c>
      <c r="F120" s="139"/>
      <c r="G120" s="172" t="s">
        <v>58</v>
      </c>
      <c r="H120" s="251">
        <v>1</v>
      </c>
    </row>
    <row r="121" spans="2:10" s="142" customFormat="1" ht="15.75" thickBot="1" x14ac:dyDescent="0.3">
      <c r="B121" s="114" t="s">
        <v>98</v>
      </c>
      <c r="C121" s="51"/>
      <c r="D121" s="51"/>
      <c r="E121" s="51">
        <f t="shared" ref="E121" si="37">SUM(C121:D121)</f>
        <v>0</v>
      </c>
      <c r="F121" s="139"/>
      <c r="G121" s="176" t="s">
        <v>63</v>
      </c>
      <c r="H121" s="252">
        <v>0</v>
      </c>
      <c r="I121" s="139"/>
    </row>
    <row r="122" spans="2:10" s="142" customFormat="1" ht="15.75" thickBot="1" x14ac:dyDescent="0.3">
      <c r="B122" s="123" t="s">
        <v>14</v>
      </c>
      <c r="C122" s="73">
        <f>SUM(C104:C121)</f>
        <v>26</v>
      </c>
      <c r="D122" s="73">
        <f>SUM(D104:D121)</f>
        <v>24</v>
      </c>
      <c r="E122" s="73">
        <f>SUM(E104:E121)</f>
        <v>50</v>
      </c>
      <c r="F122" s="139"/>
      <c r="G122" s="139"/>
      <c r="H122" s="139"/>
      <c r="I122" s="139"/>
    </row>
  </sheetData>
  <mergeCells count="23">
    <mergeCell ref="B79:B80"/>
    <mergeCell ref="C79:E79"/>
    <mergeCell ref="G79:G80"/>
    <mergeCell ref="H79:J79"/>
    <mergeCell ref="B102:B103"/>
    <mergeCell ref="C102:E102"/>
    <mergeCell ref="G102:G103"/>
    <mergeCell ref="H102:J102"/>
    <mergeCell ref="B33:B34"/>
    <mergeCell ref="C33:E33"/>
    <mergeCell ref="G33:G34"/>
    <mergeCell ref="H33:J33"/>
    <mergeCell ref="B56:B57"/>
    <mergeCell ref="C56:E56"/>
    <mergeCell ref="G56:G57"/>
    <mergeCell ref="H56:J56"/>
    <mergeCell ref="B1:J1"/>
    <mergeCell ref="B2:J2"/>
    <mergeCell ref="G4:J5"/>
    <mergeCell ref="B7:B8"/>
    <mergeCell ref="C7:E7"/>
    <mergeCell ref="G7:G8"/>
    <mergeCell ref="H7:J7"/>
  </mergeCells>
  <printOptions horizontalCentered="1"/>
  <pageMargins left="0.70866141732283472" right="0.70866141732283472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77" max="16383" man="1"/>
  </rowBreaks>
  <ignoredErrors>
    <ignoredError sqref="I9:I12 H10:H12 H9 H35:I38 H58:I61 H81:I84 H104:I107 J110:J111 J87:J88 J64:J65 J41:J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47"/>
  <sheetViews>
    <sheetView zoomScaleNormal="100" workbookViewId="0">
      <pane ySplit="5" topLeftCell="A81" activePane="bottomLeft" state="frozen"/>
      <selection activeCell="B2" sqref="B2:T2"/>
      <selection pane="bottomLeft" activeCell="H87" sqref="H87:H98"/>
    </sheetView>
  </sheetViews>
  <sheetFormatPr baseColWidth="10" defaultRowHeight="15" x14ac:dyDescent="0.25"/>
  <cols>
    <col min="1" max="1" width="1" style="86" customWidth="1"/>
    <col min="2" max="6" width="14.42578125" style="86" customWidth="1"/>
    <col min="7" max="7" width="18" style="86" customWidth="1"/>
    <col min="8" max="8" width="14.42578125" style="86" customWidth="1"/>
    <col min="9" max="9" width="17.28515625" style="86" customWidth="1"/>
    <col min="10" max="10" width="15.7109375" style="86" customWidth="1"/>
    <col min="11" max="11" width="4.28515625" style="86" customWidth="1"/>
    <col min="12" max="12" width="16.140625" style="86" customWidth="1"/>
    <col min="13" max="15" width="12.42578125" style="86" customWidth="1"/>
    <col min="16" max="16" width="4.140625" style="86" customWidth="1"/>
    <col min="17" max="17" width="18.85546875" style="86" customWidth="1"/>
    <col min="18" max="18" width="10.140625" style="86" customWidth="1"/>
    <col min="19" max="16384" width="11.42578125" style="86"/>
  </cols>
  <sheetData>
    <row r="1" spans="2:15" s="106" customFormat="1" ht="19.5" customHeight="1" x14ac:dyDescent="0.25">
      <c r="B1" s="277" t="str">
        <f>+OSORNO!B1</f>
        <v>POBLACIÓN INSCRITA VALIDADA POR FONASA AÑO 2020 SEGÚN SEXO Y EDAD</v>
      </c>
      <c r="C1" s="277"/>
      <c r="D1" s="277"/>
      <c r="E1" s="277"/>
      <c r="F1" s="277"/>
      <c r="G1" s="277"/>
      <c r="H1" s="277"/>
      <c r="I1" s="277"/>
      <c r="J1" s="277"/>
    </row>
    <row r="2" spans="2:15" s="106" customFormat="1" ht="19.5" customHeight="1" x14ac:dyDescent="0.25">
      <c r="B2" s="284" t="s">
        <v>97</v>
      </c>
      <c r="C2" s="284"/>
      <c r="D2" s="284"/>
      <c r="E2" s="284"/>
      <c r="F2" s="284"/>
      <c r="G2" s="284"/>
      <c r="H2" s="284"/>
      <c r="I2" s="284"/>
      <c r="J2" s="284"/>
    </row>
    <row r="4" spans="2:15" s="106" customFormat="1" ht="12.75" customHeight="1" x14ac:dyDescent="0.25">
      <c r="B4" s="134" t="s">
        <v>66</v>
      </c>
      <c r="C4" s="135" t="s">
        <v>31</v>
      </c>
      <c r="F4" s="136"/>
      <c r="G4" s="291" t="s">
        <v>166</v>
      </c>
      <c r="H4" s="291"/>
      <c r="I4" s="291"/>
      <c r="J4" s="291"/>
    </row>
    <row r="5" spans="2:15" s="106" customFormat="1" x14ac:dyDescent="0.25">
      <c r="B5" s="134" t="s">
        <v>44</v>
      </c>
      <c r="C5" s="137">
        <v>10306</v>
      </c>
      <c r="G5" s="291"/>
      <c r="H5" s="291"/>
      <c r="I5" s="291"/>
      <c r="J5" s="291"/>
    </row>
    <row r="6" spans="2:15" ht="15.75" thickBot="1" x14ac:dyDescent="0.3">
      <c r="B6" s="47" t="s">
        <v>122</v>
      </c>
      <c r="D6" s="48"/>
    </row>
    <row r="7" spans="2:15" ht="30" customHeight="1" thickBot="1" x14ac:dyDescent="0.3">
      <c r="B7" s="278" t="s">
        <v>1</v>
      </c>
      <c r="C7" s="280" t="s">
        <v>86</v>
      </c>
      <c r="D7" s="281"/>
      <c r="E7" s="282"/>
      <c r="F7" s="138"/>
      <c r="G7" s="278" t="s">
        <v>45</v>
      </c>
      <c r="H7" s="280" t="s">
        <v>86</v>
      </c>
      <c r="I7" s="281"/>
      <c r="J7" s="282"/>
    </row>
    <row r="8" spans="2:15" ht="15.75" customHeight="1" thickBot="1" x14ac:dyDescent="0.3">
      <c r="B8" s="279"/>
      <c r="C8" s="82" t="s">
        <v>2</v>
      </c>
      <c r="D8" s="83" t="s">
        <v>3</v>
      </c>
      <c r="E8" s="84" t="s">
        <v>4</v>
      </c>
      <c r="F8" s="139"/>
      <c r="G8" s="283"/>
      <c r="H8" s="82" t="s">
        <v>2</v>
      </c>
      <c r="I8" s="83" t="s">
        <v>3</v>
      </c>
      <c r="J8" s="84" t="s">
        <v>4</v>
      </c>
    </row>
    <row r="9" spans="2:15" x14ac:dyDescent="0.25">
      <c r="B9" s="107" t="s">
        <v>32</v>
      </c>
      <c r="C9" s="70">
        <f t="shared" ref="C9:D26" si="0">+C33+C57</f>
        <v>153</v>
      </c>
      <c r="D9" s="70">
        <f t="shared" si="0"/>
        <v>141</v>
      </c>
      <c r="E9" s="69">
        <f>SUM(C9:D9)</f>
        <v>294</v>
      </c>
      <c r="F9" s="140"/>
      <c r="G9" s="108" t="s">
        <v>6</v>
      </c>
      <c r="H9" s="76">
        <f>SUM(C9:C10)</f>
        <v>425</v>
      </c>
      <c r="I9" s="69">
        <f>SUM(D9:D10)</f>
        <v>384</v>
      </c>
      <c r="J9" s="69">
        <f>SUM(H9:I9)</f>
        <v>809</v>
      </c>
      <c r="K9" s="139"/>
    </row>
    <row r="10" spans="2:15" x14ac:dyDescent="0.25">
      <c r="B10" s="109" t="s">
        <v>7</v>
      </c>
      <c r="C10" s="70">
        <f t="shared" si="0"/>
        <v>272</v>
      </c>
      <c r="D10" s="70">
        <f t="shared" si="0"/>
        <v>243</v>
      </c>
      <c r="E10" s="70">
        <f t="shared" ref="E10:E25" si="1">SUM(C10:D10)</f>
        <v>515</v>
      </c>
      <c r="F10" s="139"/>
      <c r="G10" s="110" t="s">
        <v>8</v>
      </c>
      <c r="H10" s="71">
        <f>SUM(C11:C12)</f>
        <v>653</v>
      </c>
      <c r="I10" s="70">
        <f>SUM(D11:D12)</f>
        <v>581</v>
      </c>
      <c r="J10" s="70">
        <f>SUM(H10:I10)</f>
        <v>1234</v>
      </c>
      <c r="K10" s="139"/>
    </row>
    <row r="11" spans="2:15" x14ac:dyDescent="0.25">
      <c r="B11" s="107" t="s">
        <v>59</v>
      </c>
      <c r="C11" s="70">
        <f t="shared" si="0"/>
        <v>322</v>
      </c>
      <c r="D11" s="70">
        <f t="shared" si="0"/>
        <v>281</v>
      </c>
      <c r="E11" s="70">
        <f t="shared" si="1"/>
        <v>603</v>
      </c>
      <c r="F11" s="139"/>
      <c r="G11" s="110" t="s">
        <v>10</v>
      </c>
      <c r="H11" s="71">
        <f>SUM(C13:C21)</f>
        <v>2933</v>
      </c>
      <c r="I11" s="70">
        <f>SUM(D13:D21)</f>
        <v>2537</v>
      </c>
      <c r="J11" s="70">
        <f>SUM(H11:I11)</f>
        <v>5470</v>
      </c>
      <c r="K11" s="139"/>
    </row>
    <row r="12" spans="2:15" ht="15.75" thickBot="1" x14ac:dyDescent="0.3">
      <c r="B12" s="107" t="s">
        <v>11</v>
      </c>
      <c r="C12" s="70">
        <f t="shared" si="0"/>
        <v>331</v>
      </c>
      <c r="D12" s="70">
        <f t="shared" si="0"/>
        <v>300</v>
      </c>
      <c r="E12" s="70">
        <f t="shared" si="1"/>
        <v>631</v>
      </c>
      <c r="F12" s="139"/>
      <c r="G12" s="110" t="s">
        <v>12</v>
      </c>
      <c r="H12" s="71">
        <f>SUM(C22:C25)</f>
        <v>741</v>
      </c>
      <c r="I12" s="70">
        <f>SUM(D22:D25)</f>
        <v>621</v>
      </c>
      <c r="J12" s="70">
        <f>SUM(H12:I12)</f>
        <v>1362</v>
      </c>
      <c r="K12" s="139"/>
    </row>
    <row r="13" spans="2:15" s="141" customFormat="1" ht="15.75" thickBot="1" x14ac:dyDescent="0.3">
      <c r="B13" s="107" t="s">
        <v>13</v>
      </c>
      <c r="C13" s="70">
        <f t="shared" si="0"/>
        <v>328</v>
      </c>
      <c r="D13" s="70">
        <f t="shared" si="0"/>
        <v>295</v>
      </c>
      <c r="E13" s="70">
        <f t="shared" si="1"/>
        <v>623</v>
      </c>
      <c r="F13" s="139"/>
      <c r="G13" s="81" t="s">
        <v>14</v>
      </c>
      <c r="H13" s="78">
        <f>SUM(H9:H12)</f>
        <v>4752</v>
      </c>
      <c r="I13" s="78">
        <f t="shared" ref="I13:J13" si="2">SUM(I9:I12)</f>
        <v>4123</v>
      </c>
      <c r="J13" s="74">
        <f t="shared" si="2"/>
        <v>8875</v>
      </c>
      <c r="K13" s="139"/>
    </row>
    <row r="14" spans="2:15" s="141" customFormat="1" ht="15.75" thickBot="1" x14ac:dyDescent="0.3">
      <c r="B14" s="107" t="s">
        <v>15</v>
      </c>
      <c r="C14" s="70">
        <f t="shared" si="0"/>
        <v>292</v>
      </c>
      <c r="D14" s="70">
        <f t="shared" si="0"/>
        <v>278</v>
      </c>
      <c r="E14" s="70">
        <f t="shared" si="1"/>
        <v>570</v>
      </c>
      <c r="F14" s="139"/>
      <c r="G14" s="254"/>
      <c r="H14" s="254"/>
      <c r="I14" s="254"/>
      <c r="J14" s="254"/>
      <c r="K14" s="139"/>
    </row>
    <row r="15" spans="2:15" s="141" customFormat="1" x14ac:dyDescent="0.25">
      <c r="B15" s="107" t="s">
        <v>16</v>
      </c>
      <c r="C15" s="70">
        <f t="shared" si="0"/>
        <v>287</v>
      </c>
      <c r="D15" s="70">
        <f t="shared" si="0"/>
        <v>260</v>
      </c>
      <c r="E15" s="70">
        <f t="shared" si="1"/>
        <v>547</v>
      </c>
      <c r="F15" s="139"/>
      <c r="G15" s="269" t="s">
        <v>150</v>
      </c>
      <c r="H15" s="250">
        <f>+H39+H63</f>
        <v>60</v>
      </c>
      <c r="I15" s="267" t="s">
        <v>60</v>
      </c>
      <c r="J15" s="69">
        <f>SUM(C13:C17)</f>
        <v>1606</v>
      </c>
      <c r="K15" s="139"/>
      <c r="L15" s="47"/>
      <c r="M15" s="47"/>
      <c r="N15" s="47"/>
      <c r="O15" s="47"/>
    </row>
    <row r="16" spans="2:15" s="141" customFormat="1" ht="15.75" thickBot="1" x14ac:dyDescent="0.3">
      <c r="B16" s="107" t="s">
        <v>17</v>
      </c>
      <c r="C16" s="70">
        <f t="shared" si="0"/>
        <v>323</v>
      </c>
      <c r="D16" s="70">
        <f t="shared" si="0"/>
        <v>264</v>
      </c>
      <c r="E16" s="70">
        <f t="shared" si="1"/>
        <v>587</v>
      </c>
      <c r="F16" s="139"/>
      <c r="G16" s="85" t="s">
        <v>151</v>
      </c>
      <c r="H16" s="251">
        <f t="shared" ref="H16:H25" si="3">+H40+H64</f>
        <v>30</v>
      </c>
      <c r="I16" s="268" t="s">
        <v>61</v>
      </c>
      <c r="J16" s="51">
        <f>SUM(D18:D21)</f>
        <v>1117</v>
      </c>
      <c r="K16" s="139"/>
    </row>
    <row r="17" spans="2:15" s="141" customFormat="1" ht="15.75" thickBot="1" x14ac:dyDescent="0.3">
      <c r="B17" s="107" t="s">
        <v>18</v>
      </c>
      <c r="C17" s="70">
        <f t="shared" si="0"/>
        <v>376</v>
      </c>
      <c r="D17" s="70">
        <f t="shared" si="0"/>
        <v>323</v>
      </c>
      <c r="E17" s="70">
        <f t="shared" si="1"/>
        <v>699</v>
      </c>
      <c r="F17" s="139"/>
      <c r="G17" s="85" t="s">
        <v>152</v>
      </c>
      <c r="H17" s="251">
        <f t="shared" si="3"/>
        <v>50</v>
      </c>
      <c r="I17" s="47"/>
      <c r="J17" s="142"/>
      <c r="K17" s="139"/>
    </row>
    <row r="18" spans="2:15" s="141" customFormat="1" x14ac:dyDescent="0.25">
      <c r="B18" s="107" t="s">
        <v>19</v>
      </c>
      <c r="C18" s="70">
        <f t="shared" si="0"/>
        <v>366</v>
      </c>
      <c r="D18" s="70">
        <f t="shared" si="0"/>
        <v>290</v>
      </c>
      <c r="E18" s="70">
        <f t="shared" si="1"/>
        <v>656</v>
      </c>
      <c r="F18" s="139"/>
      <c r="G18" s="85" t="s">
        <v>89</v>
      </c>
      <c r="H18" s="251">
        <f t="shared" si="3"/>
        <v>72</v>
      </c>
      <c r="I18" s="267" t="s">
        <v>153</v>
      </c>
      <c r="J18" s="69">
        <f>+H22+H23+H24+E11+E12</f>
        <v>1569</v>
      </c>
      <c r="K18" s="139"/>
    </row>
    <row r="19" spans="2:15" s="141" customFormat="1" ht="15.75" thickBot="1" x14ac:dyDescent="0.3">
      <c r="B19" s="107" t="s">
        <v>20</v>
      </c>
      <c r="C19" s="70">
        <f t="shared" si="0"/>
        <v>336</v>
      </c>
      <c r="D19" s="70">
        <f t="shared" si="0"/>
        <v>301</v>
      </c>
      <c r="E19" s="70">
        <f t="shared" si="1"/>
        <v>637</v>
      </c>
      <c r="F19" s="139"/>
      <c r="G19" s="85" t="s">
        <v>90</v>
      </c>
      <c r="H19" s="251">
        <f t="shared" si="3"/>
        <v>80</v>
      </c>
      <c r="I19" s="268" t="s">
        <v>64</v>
      </c>
      <c r="J19" s="51">
        <f>SUM(E9:E12)</f>
        <v>2043</v>
      </c>
      <c r="K19" s="139"/>
    </row>
    <row r="20" spans="2:15" s="141" customFormat="1" x14ac:dyDescent="0.25">
      <c r="B20" s="107" t="s">
        <v>21</v>
      </c>
      <c r="C20" s="70">
        <f t="shared" si="0"/>
        <v>350</v>
      </c>
      <c r="D20" s="70">
        <f t="shared" si="0"/>
        <v>308</v>
      </c>
      <c r="E20" s="70">
        <f t="shared" si="1"/>
        <v>658</v>
      </c>
      <c r="F20" s="139"/>
      <c r="G20" s="85" t="s">
        <v>169</v>
      </c>
      <c r="H20" s="251">
        <f t="shared" si="3"/>
        <v>96</v>
      </c>
      <c r="I20" s="255"/>
      <c r="J20" s="256"/>
      <c r="K20" s="139"/>
    </row>
    <row r="21" spans="2:15" s="141" customFormat="1" x14ac:dyDescent="0.25">
      <c r="B21" s="107" t="s">
        <v>22</v>
      </c>
      <c r="C21" s="70">
        <f t="shared" si="0"/>
        <v>275</v>
      </c>
      <c r="D21" s="70">
        <f t="shared" si="0"/>
        <v>218</v>
      </c>
      <c r="E21" s="70">
        <f t="shared" si="1"/>
        <v>493</v>
      </c>
      <c r="F21" s="139"/>
      <c r="G21" s="85" t="s">
        <v>57</v>
      </c>
      <c r="H21" s="251">
        <f t="shared" si="3"/>
        <v>84</v>
      </c>
      <c r="I21" s="255"/>
      <c r="J21" s="257"/>
      <c r="K21" s="139"/>
    </row>
    <row r="22" spans="2:15" x14ac:dyDescent="0.25">
      <c r="B22" s="107" t="s">
        <v>23</v>
      </c>
      <c r="C22" s="70">
        <f t="shared" si="0"/>
        <v>218</v>
      </c>
      <c r="D22" s="70">
        <f t="shared" si="0"/>
        <v>199</v>
      </c>
      <c r="E22" s="70">
        <f t="shared" si="1"/>
        <v>417</v>
      </c>
      <c r="F22" s="139"/>
      <c r="G22" s="85" t="s">
        <v>168</v>
      </c>
      <c r="H22" s="251">
        <f t="shared" si="3"/>
        <v>102</v>
      </c>
      <c r="I22" s="254"/>
      <c r="J22" s="126"/>
      <c r="K22" s="139"/>
    </row>
    <row r="23" spans="2:15" x14ac:dyDescent="0.25">
      <c r="B23" s="107" t="s">
        <v>24</v>
      </c>
      <c r="C23" s="70">
        <f t="shared" si="0"/>
        <v>195</v>
      </c>
      <c r="D23" s="70">
        <f t="shared" si="0"/>
        <v>173</v>
      </c>
      <c r="E23" s="70">
        <f t="shared" si="1"/>
        <v>368</v>
      </c>
      <c r="F23" s="139"/>
      <c r="G23" s="85" t="s">
        <v>170</v>
      </c>
      <c r="H23" s="251">
        <f t="shared" si="3"/>
        <v>119</v>
      </c>
      <c r="I23" s="254"/>
      <c r="J23" s="254"/>
      <c r="K23" s="139"/>
    </row>
    <row r="24" spans="2:15" x14ac:dyDescent="0.25">
      <c r="B24" s="107" t="s">
        <v>25</v>
      </c>
      <c r="C24" s="70">
        <f t="shared" si="0"/>
        <v>139</v>
      </c>
      <c r="D24" s="70">
        <f t="shared" si="0"/>
        <v>114</v>
      </c>
      <c r="E24" s="70">
        <f t="shared" si="1"/>
        <v>253</v>
      </c>
      <c r="F24" s="111"/>
      <c r="G24" s="85" t="s">
        <v>171</v>
      </c>
      <c r="H24" s="251">
        <f t="shared" si="3"/>
        <v>114</v>
      </c>
      <c r="I24" s="126"/>
      <c r="J24" s="126"/>
      <c r="K24" s="139"/>
      <c r="L24" s="143"/>
      <c r="M24" s="141"/>
      <c r="N24" s="141"/>
      <c r="O24" s="141"/>
    </row>
    <row r="25" spans="2:15" ht="15" customHeight="1" x14ac:dyDescent="0.25">
      <c r="B25" s="107" t="s">
        <v>26</v>
      </c>
      <c r="C25" s="70">
        <f t="shared" si="0"/>
        <v>189</v>
      </c>
      <c r="D25" s="70">
        <f t="shared" si="0"/>
        <v>135</v>
      </c>
      <c r="E25" s="70">
        <f t="shared" si="1"/>
        <v>324</v>
      </c>
      <c r="F25" s="111"/>
      <c r="G25" s="85" t="s">
        <v>58</v>
      </c>
      <c r="H25" s="251">
        <f t="shared" si="3"/>
        <v>119</v>
      </c>
      <c r="I25" s="126"/>
      <c r="J25" s="126"/>
      <c r="K25" s="139"/>
    </row>
    <row r="26" spans="2:15" ht="15" customHeight="1" thickBot="1" x14ac:dyDescent="0.3">
      <c r="B26" s="107" t="s">
        <v>98</v>
      </c>
      <c r="C26" s="70">
        <f t="shared" si="0"/>
        <v>0</v>
      </c>
      <c r="D26" s="70">
        <f t="shared" si="0"/>
        <v>0</v>
      </c>
      <c r="E26" s="70">
        <f>SUM(C26:D26)</f>
        <v>0</v>
      </c>
      <c r="F26" s="111"/>
      <c r="G26" s="144" t="s">
        <v>63</v>
      </c>
      <c r="H26" s="252">
        <f>+H50+H74</f>
        <v>88</v>
      </c>
      <c r="I26" s="254"/>
      <c r="J26" s="254"/>
      <c r="K26" s="139"/>
    </row>
    <row r="27" spans="2:15" ht="15.75" thickBot="1" x14ac:dyDescent="0.3">
      <c r="B27" s="112" t="s">
        <v>14</v>
      </c>
      <c r="C27" s="74">
        <f>SUM(C9:C26)</f>
        <v>4752</v>
      </c>
      <c r="D27" s="74">
        <f>SUM(D9:D26)</f>
        <v>4123</v>
      </c>
      <c r="E27" s="74">
        <f>SUM(E9:E26)</f>
        <v>8875</v>
      </c>
      <c r="F27" s="111"/>
      <c r="G27" s="111"/>
      <c r="H27" s="111"/>
      <c r="K27" s="139"/>
    </row>
    <row r="28" spans="2:15" x14ac:dyDescent="0.25">
      <c r="B28" s="111"/>
      <c r="C28" s="111"/>
      <c r="D28" s="111"/>
      <c r="E28" s="111"/>
      <c r="F28" s="111"/>
      <c r="I28" s="113"/>
      <c r="J28" s="113"/>
      <c r="K28" s="139"/>
    </row>
    <row r="29" spans="2:15" ht="15" customHeight="1" x14ac:dyDescent="0.25">
      <c r="B29" s="111"/>
      <c r="C29" s="111"/>
      <c r="D29" s="111"/>
      <c r="E29" s="111"/>
      <c r="F29" s="111"/>
      <c r="G29" s="299" t="s">
        <v>156</v>
      </c>
      <c r="H29" s="299"/>
      <c r="I29" s="299"/>
      <c r="J29" s="299"/>
      <c r="K29" s="139"/>
    </row>
    <row r="30" spans="2:15" ht="15.75" thickBot="1" x14ac:dyDescent="0.3">
      <c r="B30" s="47" t="s">
        <v>115</v>
      </c>
      <c r="G30" s="111"/>
      <c r="H30" s="111"/>
      <c r="I30" s="111"/>
      <c r="J30" s="111"/>
    </row>
    <row r="31" spans="2:15" ht="28.5" customHeight="1" thickBot="1" x14ac:dyDescent="0.3">
      <c r="B31" s="271" t="s">
        <v>1</v>
      </c>
      <c r="C31" s="273" t="s">
        <v>87</v>
      </c>
      <c r="D31" s="274"/>
      <c r="E31" s="275"/>
      <c r="F31" s="139"/>
      <c r="G31" s="271" t="s">
        <v>45</v>
      </c>
      <c r="H31" s="273" t="s">
        <v>87</v>
      </c>
      <c r="I31" s="274"/>
      <c r="J31" s="275"/>
    </row>
    <row r="32" spans="2:15" ht="15.75" thickBot="1" x14ac:dyDescent="0.3">
      <c r="B32" s="272"/>
      <c r="C32" s="145" t="s">
        <v>2</v>
      </c>
      <c r="D32" s="146" t="s">
        <v>3</v>
      </c>
      <c r="E32" s="147" t="s">
        <v>4</v>
      </c>
      <c r="F32" s="139"/>
      <c r="G32" s="272"/>
      <c r="H32" s="145" t="s">
        <v>2</v>
      </c>
      <c r="I32" s="146" t="s">
        <v>3</v>
      </c>
      <c r="J32" s="147" t="s">
        <v>4</v>
      </c>
    </row>
    <row r="33" spans="2:10" x14ac:dyDescent="0.25">
      <c r="B33" s="114" t="s">
        <v>32</v>
      </c>
      <c r="C33" s="115">
        <v>90</v>
      </c>
      <c r="D33" s="116">
        <f>87+2</f>
        <v>89</v>
      </c>
      <c r="E33" s="69">
        <f t="shared" ref="E33:E50" si="4">SUM(C33:D33)</f>
        <v>179</v>
      </c>
      <c r="F33" s="148"/>
      <c r="G33" s="117" t="s">
        <v>6</v>
      </c>
      <c r="H33" s="57">
        <f>SUM(C33:C34)</f>
        <v>305</v>
      </c>
      <c r="I33" s="69">
        <f>SUM(D33:D34)</f>
        <v>272</v>
      </c>
      <c r="J33" s="69">
        <f>SUM(H33:I33)</f>
        <v>577</v>
      </c>
    </row>
    <row r="34" spans="2:10" x14ac:dyDescent="0.25">
      <c r="B34" s="118" t="s">
        <v>7</v>
      </c>
      <c r="C34" s="119">
        <v>215</v>
      </c>
      <c r="D34" s="116">
        <v>183</v>
      </c>
      <c r="E34" s="70">
        <f t="shared" si="4"/>
        <v>398</v>
      </c>
      <c r="F34" s="139"/>
      <c r="G34" s="120" t="s">
        <v>8</v>
      </c>
      <c r="H34" s="57">
        <f>SUM(C35:C36)</f>
        <v>454</v>
      </c>
      <c r="I34" s="70">
        <f>SUM(D35:D36)</f>
        <v>425</v>
      </c>
      <c r="J34" s="70">
        <f>SUM(H34:I34)</f>
        <v>879</v>
      </c>
    </row>
    <row r="35" spans="2:10" x14ac:dyDescent="0.25">
      <c r="B35" s="114" t="s">
        <v>59</v>
      </c>
      <c r="C35" s="119">
        <f>215+1</f>
        <v>216</v>
      </c>
      <c r="D35" s="116">
        <v>214</v>
      </c>
      <c r="E35" s="70">
        <f t="shared" si="4"/>
        <v>430</v>
      </c>
      <c r="F35" s="139"/>
      <c r="G35" s="120" t="s">
        <v>10</v>
      </c>
      <c r="H35" s="57">
        <f>SUM(C37:C45)</f>
        <v>2118</v>
      </c>
      <c r="I35" s="70">
        <f>SUM(D37:D45)</f>
        <v>1712</v>
      </c>
      <c r="J35" s="70">
        <f>SUM(H35:I35)</f>
        <v>3830</v>
      </c>
    </row>
    <row r="36" spans="2:10" ht="15.75" thickBot="1" x14ac:dyDescent="0.3">
      <c r="B36" s="114" t="s">
        <v>11</v>
      </c>
      <c r="C36" s="119">
        <f>237+1</f>
        <v>238</v>
      </c>
      <c r="D36" s="116">
        <v>211</v>
      </c>
      <c r="E36" s="70">
        <f t="shared" si="4"/>
        <v>449</v>
      </c>
      <c r="F36" s="139"/>
      <c r="G36" s="120" t="s">
        <v>12</v>
      </c>
      <c r="H36" s="57">
        <f>SUM(C46:C49)</f>
        <v>499</v>
      </c>
      <c r="I36" s="70">
        <f>SUM(D46:D49)</f>
        <v>414</v>
      </c>
      <c r="J36" s="70">
        <f>SUM(H36:I36)</f>
        <v>913</v>
      </c>
    </row>
    <row r="37" spans="2:10" ht="15.75" thickBot="1" x14ac:dyDescent="0.3">
      <c r="B37" s="114" t="s">
        <v>13</v>
      </c>
      <c r="C37" s="119">
        <v>251</v>
      </c>
      <c r="D37" s="116">
        <v>193</v>
      </c>
      <c r="E37" s="70">
        <f t="shared" si="4"/>
        <v>444</v>
      </c>
      <c r="F37" s="139"/>
      <c r="G37" s="121" t="s">
        <v>14</v>
      </c>
      <c r="H37" s="72">
        <f>SUM(H33:H36)</f>
        <v>3376</v>
      </c>
      <c r="I37" s="72">
        <f t="shared" ref="I37:J37" si="5">SUM(I33:I36)</f>
        <v>2823</v>
      </c>
      <c r="J37" s="72">
        <f t="shared" si="5"/>
        <v>6199</v>
      </c>
    </row>
    <row r="38" spans="2:10" ht="15.75" thickBot="1" x14ac:dyDescent="0.3">
      <c r="B38" s="114" t="s">
        <v>15</v>
      </c>
      <c r="C38" s="119">
        <v>209</v>
      </c>
      <c r="D38" s="116">
        <v>183</v>
      </c>
      <c r="E38" s="70">
        <f t="shared" si="4"/>
        <v>392</v>
      </c>
      <c r="F38" s="139"/>
      <c r="G38" s="142"/>
      <c r="H38" s="142"/>
      <c r="I38" s="142"/>
      <c r="J38" s="142"/>
    </row>
    <row r="39" spans="2:10" x14ac:dyDescent="0.25">
      <c r="B39" s="114" t="s">
        <v>16</v>
      </c>
      <c r="C39" s="119">
        <f>196+2</f>
        <v>198</v>
      </c>
      <c r="D39" s="116">
        <f>160+1</f>
        <v>161</v>
      </c>
      <c r="E39" s="70">
        <f t="shared" si="4"/>
        <v>359</v>
      </c>
      <c r="F39" s="139"/>
      <c r="G39" s="171" t="s">
        <v>150</v>
      </c>
      <c r="H39" s="250">
        <v>28</v>
      </c>
      <c r="I39" s="262" t="s">
        <v>60</v>
      </c>
      <c r="J39" s="69">
        <f>SUM(C37:C41)</f>
        <v>1139</v>
      </c>
    </row>
    <row r="40" spans="2:10" ht="15.75" thickBot="1" x14ac:dyDescent="0.3">
      <c r="B40" s="114" t="s">
        <v>17</v>
      </c>
      <c r="C40" s="119">
        <v>236</v>
      </c>
      <c r="D40" s="116">
        <v>193</v>
      </c>
      <c r="E40" s="70">
        <f t="shared" si="4"/>
        <v>429</v>
      </c>
      <c r="F40" s="139"/>
      <c r="G40" s="172" t="s">
        <v>151</v>
      </c>
      <c r="H40" s="251">
        <f>11+1</f>
        <v>12</v>
      </c>
      <c r="I40" s="263" t="s">
        <v>61</v>
      </c>
      <c r="J40" s="51">
        <f>SUM(D42:D45)</f>
        <v>770</v>
      </c>
    </row>
    <row r="41" spans="2:10" ht="15.75" thickBot="1" x14ac:dyDescent="0.3">
      <c r="B41" s="114" t="s">
        <v>18</v>
      </c>
      <c r="C41" s="119">
        <v>245</v>
      </c>
      <c r="D41" s="116">
        <v>212</v>
      </c>
      <c r="E41" s="70">
        <f t="shared" si="4"/>
        <v>457</v>
      </c>
      <c r="F41" s="139"/>
      <c r="G41" s="172" t="s">
        <v>152</v>
      </c>
      <c r="H41" s="251">
        <v>25</v>
      </c>
      <c r="I41" s="104"/>
      <c r="J41" s="94"/>
    </row>
    <row r="42" spans="2:10" x14ac:dyDescent="0.25">
      <c r="B42" s="114" t="s">
        <v>19</v>
      </c>
      <c r="C42" s="119">
        <v>291</v>
      </c>
      <c r="D42" s="116">
        <v>215</v>
      </c>
      <c r="E42" s="70">
        <f t="shared" si="4"/>
        <v>506</v>
      </c>
      <c r="F42" s="139"/>
      <c r="G42" s="172" t="s">
        <v>89</v>
      </c>
      <c r="H42" s="251">
        <v>56</v>
      </c>
      <c r="I42" s="171" t="s">
        <v>153</v>
      </c>
      <c r="J42" s="198">
        <f>+H46+H47+H48+E35+E36</f>
        <v>1149</v>
      </c>
    </row>
    <row r="43" spans="2:10" ht="15.75" thickBot="1" x14ac:dyDescent="0.3">
      <c r="B43" s="114" t="s">
        <v>20</v>
      </c>
      <c r="C43" s="119">
        <v>236</v>
      </c>
      <c r="D43" s="116">
        <v>186</v>
      </c>
      <c r="E43" s="70">
        <f t="shared" si="4"/>
        <v>422</v>
      </c>
      <c r="F43" s="139"/>
      <c r="G43" s="172" t="s">
        <v>90</v>
      </c>
      <c r="H43" s="251">
        <v>56</v>
      </c>
      <c r="I43" s="176" t="s">
        <v>64</v>
      </c>
      <c r="J43" s="199">
        <f>SUM(E33:E36)</f>
        <v>1456</v>
      </c>
    </row>
    <row r="44" spans="2:10" x14ac:dyDescent="0.25">
      <c r="B44" s="114" t="s">
        <v>21</v>
      </c>
      <c r="C44" s="119">
        <v>291</v>
      </c>
      <c r="D44" s="116">
        <v>226</v>
      </c>
      <c r="E44" s="70">
        <f t="shared" si="4"/>
        <v>517</v>
      </c>
      <c r="F44" s="139"/>
      <c r="G44" s="172" t="s">
        <v>169</v>
      </c>
      <c r="H44" s="251">
        <v>65</v>
      </c>
      <c r="I44" s="142"/>
      <c r="J44" s="142"/>
    </row>
    <row r="45" spans="2:10" x14ac:dyDescent="0.25">
      <c r="B45" s="114" t="s">
        <v>22</v>
      </c>
      <c r="C45" s="119">
        <v>161</v>
      </c>
      <c r="D45" s="116">
        <v>143</v>
      </c>
      <c r="E45" s="70">
        <f t="shared" si="4"/>
        <v>304</v>
      </c>
      <c r="F45" s="139"/>
      <c r="G45" s="172" t="s">
        <v>57</v>
      </c>
      <c r="H45" s="251">
        <v>63</v>
      </c>
      <c r="I45" s="142"/>
      <c r="J45" s="142"/>
    </row>
    <row r="46" spans="2:10" x14ac:dyDescent="0.25">
      <c r="B46" s="114" t="s">
        <v>23</v>
      </c>
      <c r="C46" s="119">
        <f>164+1</f>
        <v>165</v>
      </c>
      <c r="D46" s="116">
        <v>130</v>
      </c>
      <c r="E46" s="70">
        <f t="shared" si="4"/>
        <v>295</v>
      </c>
      <c r="F46" s="139"/>
      <c r="G46" s="172" t="s">
        <v>168</v>
      </c>
      <c r="H46" s="251">
        <v>83</v>
      </c>
      <c r="I46" s="142"/>
      <c r="J46" s="142"/>
    </row>
    <row r="47" spans="2:10" x14ac:dyDescent="0.25">
      <c r="B47" s="114" t="s">
        <v>24</v>
      </c>
      <c r="C47" s="119">
        <v>128</v>
      </c>
      <c r="D47" s="116">
        <v>116</v>
      </c>
      <c r="E47" s="70">
        <f t="shared" si="4"/>
        <v>244</v>
      </c>
      <c r="F47" s="139"/>
      <c r="G47" s="172" t="s">
        <v>170</v>
      </c>
      <c r="H47" s="251">
        <v>94</v>
      </c>
      <c r="I47" s="142"/>
      <c r="J47" s="142"/>
    </row>
    <row r="48" spans="2:10" x14ac:dyDescent="0.25">
      <c r="B48" s="114" t="s">
        <v>25</v>
      </c>
      <c r="C48" s="119">
        <v>77</v>
      </c>
      <c r="D48" s="116">
        <v>80</v>
      </c>
      <c r="E48" s="70">
        <f t="shared" si="4"/>
        <v>157</v>
      </c>
      <c r="F48" s="139"/>
      <c r="G48" s="172" t="s">
        <v>171</v>
      </c>
      <c r="H48" s="251">
        <v>93</v>
      </c>
      <c r="I48" s="142"/>
      <c r="J48" s="142"/>
    </row>
    <row r="49" spans="1:10" ht="15.75" customHeight="1" x14ac:dyDescent="0.25">
      <c r="B49" s="114" t="s">
        <v>26</v>
      </c>
      <c r="C49" s="119">
        <v>129</v>
      </c>
      <c r="D49" s="116">
        <v>88</v>
      </c>
      <c r="E49" s="70">
        <f t="shared" si="4"/>
        <v>217</v>
      </c>
      <c r="F49" s="139"/>
      <c r="G49" s="172" t="s">
        <v>58</v>
      </c>
      <c r="H49" s="251">
        <f>78+1</f>
        <v>79</v>
      </c>
      <c r="I49" s="142"/>
      <c r="J49" s="142"/>
    </row>
    <row r="50" spans="1:10" ht="15.75" customHeight="1" thickBot="1" x14ac:dyDescent="0.3">
      <c r="B50" s="114" t="s">
        <v>98</v>
      </c>
      <c r="C50" s="122"/>
      <c r="D50" s="116"/>
      <c r="E50" s="70">
        <f t="shared" si="4"/>
        <v>0</v>
      </c>
      <c r="F50" s="139"/>
      <c r="G50" s="176" t="s">
        <v>63</v>
      </c>
      <c r="H50" s="252">
        <v>61</v>
      </c>
      <c r="I50" s="139"/>
      <c r="J50" s="142"/>
    </row>
    <row r="51" spans="1:10" ht="15.75" thickBot="1" x14ac:dyDescent="0.3">
      <c r="B51" s="123" t="s">
        <v>14</v>
      </c>
      <c r="C51" s="73">
        <f>SUM(C33:C50)</f>
        <v>3376</v>
      </c>
      <c r="D51" s="73">
        <f>SUM(D33:D50)</f>
        <v>2823</v>
      </c>
      <c r="E51" s="73">
        <f>SUM(E33:E50)</f>
        <v>6199</v>
      </c>
      <c r="F51" s="139"/>
      <c r="G51" s="139"/>
      <c r="H51" s="139"/>
      <c r="I51" s="142"/>
      <c r="J51" s="142"/>
    </row>
    <row r="52" spans="1:10" x14ac:dyDescent="0.25">
      <c r="A52" s="139"/>
      <c r="B52" s="149" t="s">
        <v>164</v>
      </c>
      <c r="C52" s="139"/>
      <c r="D52" s="139"/>
      <c r="E52" s="139"/>
      <c r="F52" s="139"/>
      <c r="I52" s="142"/>
      <c r="J52" s="142"/>
    </row>
    <row r="53" spans="1:10" x14ac:dyDescent="0.25">
      <c r="A53" s="139"/>
      <c r="B53" s="139"/>
      <c r="C53" s="139"/>
      <c r="D53" s="139"/>
      <c r="E53" s="139"/>
      <c r="F53" s="139"/>
      <c r="G53" s="124"/>
      <c r="H53" s="142"/>
      <c r="I53" s="142"/>
      <c r="J53" s="142"/>
    </row>
    <row r="54" spans="1:10" ht="15.75" thickBot="1" x14ac:dyDescent="0.3">
      <c r="B54" s="47" t="s">
        <v>116</v>
      </c>
      <c r="J54" s="150"/>
    </row>
    <row r="55" spans="1:10" ht="28.5" customHeight="1" thickBot="1" x14ac:dyDescent="0.3">
      <c r="B55" s="271" t="s">
        <v>1</v>
      </c>
      <c r="C55" s="273" t="s">
        <v>88</v>
      </c>
      <c r="D55" s="274"/>
      <c r="E55" s="275"/>
      <c r="F55" s="139"/>
      <c r="G55" s="271" t="s">
        <v>45</v>
      </c>
      <c r="H55" s="273" t="s">
        <v>88</v>
      </c>
      <c r="I55" s="274"/>
      <c r="J55" s="275"/>
    </row>
    <row r="56" spans="1:10" ht="15.75" thickBot="1" x14ac:dyDescent="0.3">
      <c r="B56" s="272"/>
      <c r="C56" s="145" t="s">
        <v>2</v>
      </c>
      <c r="D56" s="146" t="s">
        <v>3</v>
      </c>
      <c r="E56" s="147" t="s">
        <v>4</v>
      </c>
      <c r="F56" s="139"/>
      <c r="G56" s="272"/>
      <c r="H56" s="145" t="s">
        <v>2</v>
      </c>
      <c r="I56" s="146" t="s">
        <v>3</v>
      </c>
      <c r="J56" s="147" t="s">
        <v>4</v>
      </c>
    </row>
    <row r="57" spans="1:10" x14ac:dyDescent="0.25">
      <c r="B57" s="114" t="s">
        <v>32</v>
      </c>
      <c r="C57" s="115">
        <v>63</v>
      </c>
      <c r="D57" s="116">
        <v>52</v>
      </c>
      <c r="E57" s="69">
        <f t="shared" ref="E57:E74" si="6">SUM(C57:D57)</f>
        <v>115</v>
      </c>
      <c r="F57" s="148"/>
      <c r="G57" s="117" t="s">
        <v>6</v>
      </c>
      <c r="H57" s="57">
        <f>SUM(C57:C58)</f>
        <v>120</v>
      </c>
      <c r="I57" s="69">
        <f>SUM(D57:D58)</f>
        <v>112</v>
      </c>
      <c r="J57" s="69">
        <f>SUM(H57:I57)</f>
        <v>232</v>
      </c>
    </row>
    <row r="58" spans="1:10" x14ac:dyDescent="0.25">
      <c r="B58" s="118" t="s">
        <v>7</v>
      </c>
      <c r="C58" s="119">
        <v>57</v>
      </c>
      <c r="D58" s="116">
        <v>60</v>
      </c>
      <c r="E58" s="70">
        <f t="shared" si="6"/>
        <v>117</v>
      </c>
      <c r="F58" s="139"/>
      <c r="G58" s="120" t="s">
        <v>8</v>
      </c>
      <c r="H58" s="57">
        <f>SUM(C59:C60)</f>
        <v>199</v>
      </c>
      <c r="I58" s="70">
        <f>SUM(D59:D60)</f>
        <v>156</v>
      </c>
      <c r="J58" s="70">
        <f>SUM(H58:I58)</f>
        <v>355</v>
      </c>
    </row>
    <row r="59" spans="1:10" x14ac:dyDescent="0.25">
      <c r="B59" s="114" t="s">
        <v>59</v>
      </c>
      <c r="C59" s="119">
        <v>106</v>
      </c>
      <c r="D59" s="116">
        <v>67</v>
      </c>
      <c r="E59" s="70">
        <f t="shared" si="6"/>
        <v>173</v>
      </c>
      <c r="F59" s="139"/>
      <c r="G59" s="120" t="s">
        <v>10</v>
      </c>
      <c r="H59" s="57">
        <f>SUM(C61:C69)</f>
        <v>815</v>
      </c>
      <c r="I59" s="70">
        <f>SUM(D61:D69)</f>
        <v>825</v>
      </c>
      <c r="J59" s="70">
        <f>SUM(H59:I59)</f>
        <v>1640</v>
      </c>
    </row>
    <row r="60" spans="1:10" ht="15.75" thickBot="1" x14ac:dyDescent="0.3">
      <c r="B60" s="114" t="s">
        <v>11</v>
      </c>
      <c r="C60" s="119">
        <v>93</v>
      </c>
      <c r="D60" s="116">
        <v>89</v>
      </c>
      <c r="E60" s="70">
        <f t="shared" si="6"/>
        <v>182</v>
      </c>
      <c r="F60" s="139"/>
      <c r="G60" s="120" t="s">
        <v>12</v>
      </c>
      <c r="H60" s="57">
        <f>SUM(C70:C73)</f>
        <v>242</v>
      </c>
      <c r="I60" s="70">
        <f>SUM(D70:D73)</f>
        <v>207</v>
      </c>
      <c r="J60" s="70">
        <f>SUM(H60:I60)</f>
        <v>449</v>
      </c>
    </row>
    <row r="61" spans="1:10" ht="15.75" thickBot="1" x14ac:dyDescent="0.3">
      <c r="B61" s="114" t="s">
        <v>13</v>
      </c>
      <c r="C61" s="119">
        <v>77</v>
      </c>
      <c r="D61" s="116">
        <v>102</v>
      </c>
      <c r="E61" s="70">
        <f t="shared" si="6"/>
        <v>179</v>
      </c>
      <c r="F61" s="139"/>
      <c r="G61" s="121" t="s">
        <v>14</v>
      </c>
      <c r="H61" s="72">
        <f>SUM(H57:H60)</f>
        <v>1376</v>
      </c>
      <c r="I61" s="72">
        <f t="shared" ref="I61:J61" si="7">SUM(I57:I60)</f>
        <v>1300</v>
      </c>
      <c r="J61" s="72">
        <f t="shared" si="7"/>
        <v>2676</v>
      </c>
    </row>
    <row r="62" spans="1:10" ht="15.75" thickBot="1" x14ac:dyDescent="0.3">
      <c r="B62" s="114" t="s">
        <v>15</v>
      </c>
      <c r="C62" s="119">
        <v>83</v>
      </c>
      <c r="D62" s="116">
        <v>95</v>
      </c>
      <c r="E62" s="70">
        <f t="shared" si="6"/>
        <v>178</v>
      </c>
      <c r="F62" s="139"/>
      <c r="G62" s="142"/>
      <c r="H62" s="142"/>
      <c r="I62" s="142"/>
      <c r="J62" s="142"/>
    </row>
    <row r="63" spans="1:10" x14ac:dyDescent="0.25">
      <c r="B63" s="114" t="s">
        <v>16</v>
      </c>
      <c r="C63" s="119">
        <v>89</v>
      </c>
      <c r="D63" s="116">
        <v>99</v>
      </c>
      <c r="E63" s="70">
        <f t="shared" si="6"/>
        <v>188</v>
      </c>
      <c r="F63" s="139"/>
      <c r="G63" s="171" t="s">
        <v>150</v>
      </c>
      <c r="H63" s="250">
        <v>32</v>
      </c>
      <c r="I63" s="262" t="s">
        <v>60</v>
      </c>
      <c r="J63" s="69">
        <f>SUM(C61:C65)</f>
        <v>467</v>
      </c>
    </row>
    <row r="64" spans="1:10" ht="15.75" thickBot="1" x14ac:dyDescent="0.3">
      <c r="B64" s="114" t="s">
        <v>17</v>
      </c>
      <c r="C64" s="119">
        <v>87</v>
      </c>
      <c r="D64" s="116">
        <v>71</v>
      </c>
      <c r="E64" s="70">
        <f t="shared" si="6"/>
        <v>158</v>
      </c>
      <c r="F64" s="139"/>
      <c r="G64" s="172" t="s">
        <v>151</v>
      </c>
      <c r="H64" s="251">
        <v>18</v>
      </c>
      <c r="I64" s="263" t="s">
        <v>61</v>
      </c>
      <c r="J64" s="51">
        <f>SUM(D66:D69)</f>
        <v>347</v>
      </c>
    </row>
    <row r="65" spans="2:11" ht="15.75" thickBot="1" x14ac:dyDescent="0.3">
      <c r="B65" s="114" t="s">
        <v>18</v>
      </c>
      <c r="C65" s="119">
        <v>131</v>
      </c>
      <c r="D65" s="116">
        <v>111</v>
      </c>
      <c r="E65" s="70">
        <f t="shared" si="6"/>
        <v>242</v>
      </c>
      <c r="F65" s="139"/>
      <c r="G65" s="172" t="s">
        <v>152</v>
      </c>
      <c r="H65" s="251">
        <v>25</v>
      </c>
      <c r="I65" s="104"/>
      <c r="J65" s="94"/>
    </row>
    <row r="66" spans="2:11" x14ac:dyDescent="0.25">
      <c r="B66" s="114" t="s">
        <v>19</v>
      </c>
      <c r="C66" s="119">
        <v>75</v>
      </c>
      <c r="D66" s="116">
        <v>75</v>
      </c>
      <c r="E66" s="70">
        <f t="shared" si="6"/>
        <v>150</v>
      </c>
      <c r="F66" s="139"/>
      <c r="G66" s="172" t="s">
        <v>89</v>
      </c>
      <c r="H66" s="251">
        <v>16</v>
      </c>
      <c r="I66" s="171" t="s">
        <v>153</v>
      </c>
      <c r="J66" s="198">
        <f>+H70+H71+H72+E59+E60</f>
        <v>420</v>
      </c>
    </row>
    <row r="67" spans="2:11" ht="15.75" thickBot="1" x14ac:dyDescent="0.3">
      <c r="B67" s="114" t="s">
        <v>20</v>
      </c>
      <c r="C67" s="119">
        <v>100</v>
      </c>
      <c r="D67" s="116">
        <v>115</v>
      </c>
      <c r="E67" s="70">
        <f t="shared" si="6"/>
        <v>215</v>
      </c>
      <c r="F67" s="139"/>
      <c r="G67" s="172" t="s">
        <v>90</v>
      </c>
      <c r="H67" s="251">
        <v>24</v>
      </c>
      <c r="I67" s="176" t="s">
        <v>64</v>
      </c>
      <c r="J67" s="199">
        <f>SUM(E57:E60)</f>
        <v>587</v>
      </c>
    </row>
    <row r="68" spans="2:11" x14ac:dyDescent="0.25">
      <c r="B68" s="114" t="s">
        <v>21</v>
      </c>
      <c r="C68" s="119">
        <v>59</v>
      </c>
      <c r="D68" s="116">
        <v>82</v>
      </c>
      <c r="E68" s="70">
        <f t="shared" si="6"/>
        <v>141</v>
      </c>
      <c r="F68" s="139"/>
      <c r="G68" s="172" t="s">
        <v>169</v>
      </c>
      <c r="H68" s="251">
        <v>31</v>
      </c>
      <c r="I68" s="142"/>
      <c r="J68" s="142"/>
    </row>
    <row r="69" spans="2:11" x14ac:dyDescent="0.25">
      <c r="B69" s="114" t="s">
        <v>22</v>
      </c>
      <c r="C69" s="119">
        <v>114</v>
      </c>
      <c r="D69" s="116">
        <v>75</v>
      </c>
      <c r="E69" s="70">
        <f t="shared" si="6"/>
        <v>189</v>
      </c>
      <c r="F69" s="139"/>
      <c r="G69" s="172" t="s">
        <v>57</v>
      </c>
      <c r="H69" s="251">
        <v>21</v>
      </c>
      <c r="I69" s="142"/>
      <c r="J69" s="142"/>
    </row>
    <row r="70" spans="2:11" x14ac:dyDescent="0.25">
      <c r="B70" s="114" t="s">
        <v>23</v>
      </c>
      <c r="C70" s="119">
        <v>53</v>
      </c>
      <c r="D70" s="116">
        <v>69</v>
      </c>
      <c r="E70" s="70">
        <f t="shared" si="6"/>
        <v>122</v>
      </c>
      <c r="F70" s="139"/>
      <c r="G70" s="172" t="s">
        <v>168</v>
      </c>
      <c r="H70" s="251">
        <v>19</v>
      </c>
      <c r="I70" s="142"/>
      <c r="J70" s="142"/>
    </row>
    <row r="71" spans="2:11" x14ac:dyDescent="0.25">
      <c r="B71" s="114" t="s">
        <v>24</v>
      </c>
      <c r="C71" s="119">
        <v>67</v>
      </c>
      <c r="D71" s="116">
        <v>57</v>
      </c>
      <c r="E71" s="70">
        <f t="shared" si="6"/>
        <v>124</v>
      </c>
      <c r="F71" s="139"/>
      <c r="G71" s="172" t="s">
        <v>170</v>
      </c>
      <c r="H71" s="251">
        <v>25</v>
      </c>
      <c r="I71" s="142"/>
      <c r="J71" s="142"/>
    </row>
    <row r="72" spans="2:11" x14ac:dyDescent="0.25">
      <c r="B72" s="114" t="s">
        <v>25</v>
      </c>
      <c r="C72" s="119">
        <v>62</v>
      </c>
      <c r="D72" s="116">
        <v>34</v>
      </c>
      <c r="E72" s="70">
        <f t="shared" si="6"/>
        <v>96</v>
      </c>
      <c r="F72" s="139"/>
      <c r="G72" s="172" t="s">
        <v>171</v>
      </c>
      <c r="H72" s="251">
        <v>21</v>
      </c>
      <c r="I72" s="142"/>
      <c r="J72" s="142"/>
    </row>
    <row r="73" spans="2:11" x14ac:dyDescent="0.25">
      <c r="B73" s="114" t="s">
        <v>26</v>
      </c>
      <c r="C73" s="119">
        <v>60</v>
      </c>
      <c r="D73" s="116">
        <v>47</v>
      </c>
      <c r="E73" s="70">
        <f t="shared" si="6"/>
        <v>107</v>
      </c>
      <c r="F73" s="139"/>
      <c r="G73" s="172" t="s">
        <v>58</v>
      </c>
      <c r="H73" s="251">
        <v>40</v>
      </c>
      <c r="I73" s="142"/>
      <c r="J73" s="142"/>
    </row>
    <row r="74" spans="2:11" ht="15.75" thickBot="1" x14ac:dyDescent="0.3">
      <c r="B74" s="114" t="s">
        <v>98</v>
      </c>
      <c r="C74" s="122"/>
      <c r="D74" s="116"/>
      <c r="E74" s="70">
        <f t="shared" si="6"/>
        <v>0</v>
      </c>
      <c r="F74" s="139"/>
      <c r="G74" s="176" t="s">
        <v>63</v>
      </c>
      <c r="H74" s="252">
        <v>27</v>
      </c>
      <c r="I74" s="139"/>
      <c r="J74" s="142"/>
    </row>
    <row r="75" spans="2:11" ht="15.75" thickBot="1" x14ac:dyDescent="0.3">
      <c r="B75" s="123" t="s">
        <v>14</v>
      </c>
      <c r="C75" s="73">
        <f>SUM(C57:C74)</f>
        <v>1376</v>
      </c>
      <c r="D75" s="73">
        <f>SUM(D57:D74)</f>
        <v>1300</v>
      </c>
      <c r="E75" s="73">
        <f>SUM(E57:E74)</f>
        <v>2676</v>
      </c>
      <c r="F75" s="139"/>
      <c r="G75" s="139"/>
      <c r="H75" s="139"/>
      <c r="I75" s="142"/>
      <c r="J75" s="142"/>
    </row>
    <row r="76" spans="2:11" x14ac:dyDescent="0.25">
      <c r="J76" s="150"/>
    </row>
    <row r="77" spans="2:11" x14ac:dyDescent="0.25">
      <c r="J77" s="150"/>
    </row>
    <row r="78" spans="2:11" ht="15.75" thickBot="1" x14ac:dyDescent="0.3">
      <c r="J78" s="150"/>
    </row>
    <row r="79" spans="2:11" ht="26.25" customHeight="1" thickBot="1" x14ac:dyDescent="0.3">
      <c r="B79" s="294" t="s">
        <v>45</v>
      </c>
      <c r="C79" s="296" t="s">
        <v>85</v>
      </c>
      <c r="D79" s="297"/>
      <c r="E79" s="298"/>
      <c r="F79" s="151"/>
      <c r="G79" s="294" t="s">
        <v>45</v>
      </c>
      <c r="H79" s="296" t="s">
        <v>85</v>
      </c>
      <c r="I79" s="297"/>
      <c r="J79" s="298"/>
      <c r="K79" s="98"/>
    </row>
    <row r="80" spans="2:11" ht="16.5" customHeight="1" thickBot="1" x14ac:dyDescent="0.3">
      <c r="B80" s="295"/>
      <c r="C80" s="95" t="s">
        <v>2</v>
      </c>
      <c r="D80" s="96" t="s">
        <v>3</v>
      </c>
      <c r="E80" s="97" t="s">
        <v>4</v>
      </c>
      <c r="F80" s="151"/>
      <c r="G80" s="295"/>
      <c r="H80" s="95" t="s">
        <v>2</v>
      </c>
      <c r="I80" s="96" t="s">
        <v>3</v>
      </c>
      <c r="J80" s="97" t="s">
        <v>4</v>
      </c>
      <c r="K80" s="98"/>
    </row>
    <row r="81" spans="2:11" x14ac:dyDescent="0.25">
      <c r="B81" s="91" t="s">
        <v>32</v>
      </c>
      <c r="C81" s="70">
        <f t="shared" ref="C81:D98" si="8">ROUND(C9*64%,0)</f>
        <v>98</v>
      </c>
      <c r="D81" s="71">
        <f t="shared" si="8"/>
        <v>90</v>
      </c>
      <c r="E81" s="69">
        <f>SUM(C81:D81)</f>
        <v>188</v>
      </c>
      <c r="F81" s="152"/>
      <c r="G81" s="102" t="s">
        <v>6</v>
      </c>
      <c r="H81" s="57">
        <f>SUM(C81:C82)</f>
        <v>272</v>
      </c>
      <c r="I81" s="69">
        <f>SUM(D81:D82)</f>
        <v>246</v>
      </c>
      <c r="J81" s="69">
        <f>SUM(E81:E82)</f>
        <v>518</v>
      </c>
      <c r="K81" s="98"/>
    </row>
    <row r="82" spans="2:11" ht="15.75" customHeight="1" x14ac:dyDescent="0.25">
      <c r="B82" s="125" t="s">
        <v>7</v>
      </c>
      <c r="C82" s="70">
        <f t="shared" si="8"/>
        <v>174</v>
      </c>
      <c r="D82" s="71">
        <f t="shared" si="8"/>
        <v>156</v>
      </c>
      <c r="E82" s="70">
        <f t="shared" ref="E82:E97" si="9">SUM(C82:D82)</f>
        <v>330</v>
      </c>
      <c r="F82" s="151"/>
      <c r="G82" s="103" t="s">
        <v>8</v>
      </c>
      <c r="H82" s="57">
        <f>SUM(C83:C84)</f>
        <v>418</v>
      </c>
      <c r="I82" s="70">
        <f>SUM(D83:D84)</f>
        <v>372</v>
      </c>
      <c r="J82" s="70">
        <f>SUM(E83:E84)</f>
        <v>790</v>
      </c>
      <c r="K82" s="98"/>
    </row>
    <row r="83" spans="2:11" x14ac:dyDescent="0.25">
      <c r="B83" s="91" t="s">
        <v>59</v>
      </c>
      <c r="C83" s="70">
        <f t="shared" si="8"/>
        <v>206</v>
      </c>
      <c r="D83" s="71">
        <f t="shared" si="8"/>
        <v>180</v>
      </c>
      <c r="E83" s="70">
        <f t="shared" si="9"/>
        <v>386</v>
      </c>
      <c r="F83" s="151"/>
      <c r="G83" s="103" t="s">
        <v>10</v>
      </c>
      <c r="H83" s="57">
        <f>SUM(C85:C93)</f>
        <v>1878</v>
      </c>
      <c r="I83" s="70">
        <f>SUM(D85:D93)</f>
        <v>1625</v>
      </c>
      <c r="J83" s="70">
        <f>SUM(E85:E93)</f>
        <v>3503</v>
      </c>
      <c r="K83" s="98"/>
    </row>
    <row r="84" spans="2:11" ht="15.75" thickBot="1" x14ac:dyDescent="0.3">
      <c r="B84" s="91" t="s">
        <v>11</v>
      </c>
      <c r="C84" s="70">
        <f t="shared" si="8"/>
        <v>212</v>
      </c>
      <c r="D84" s="71">
        <f t="shared" si="8"/>
        <v>192</v>
      </c>
      <c r="E84" s="70">
        <f t="shared" si="9"/>
        <v>404</v>
      </c>
      <c r="F84" s="105"/>
      <c r="G84" s="103" t="s">
        <v>12</v>
      </c>
      <c r="H84" s="57">
        <f>SUM(C94:C97)</f>
        <v>475</v>
      </c>
      <c r="I84" s="70">
        <f>SUM(D94:D97)</f>
        <v>397</v>
      </c>
      <c r="J84" s="70">
        <f>SUM(E94:E97)</f>
        <v>872</v>
      </c>
      <c r="K84" s="98"/>
    </row>
    <row r="85" spans="2:11" ht="15.75" thickBot="1" x14ac:dyDescent="0.3">
      <c r="B85" s="91" t="s">
        <v>13</v>
      </c>
      <c r="C85" s="70">
        <f t="shared" si="8"/>
        <v>210</v>
      </c>
      <c r="D85" s="71">
        <f t="shared" si="8"/>
        <v>189</v>
      </c>
      <c r="E85" s="70">
        <f t="shared" si="9"/>
        <v>399</v>
      </c>
      <c r="F85" s="111"/>
      <c r="G85" s="92" t="s">
        <v>14</v>
      </c>
      <c r="H85" s="258">
        <f>SUM(H81:H84)</f>
        <v>3043</v>
      </c>
      <c r="I85" s="258">
        <f t="shared" ref="I85" si="10">SUM(I81:I84)</f>
        <v>2640</v>
      </c>
      <c r="J85" s="93">
        <f t="shared" ref="J85" si="11">SUM(J81:J84)</f>
        <v>5683</v>
      </c>
      <c r="K85" s="98"/>
    </row>
    <row r="86" spans="2:11" ht="15.75" thickBot="1" x14ac:dyDescent="0.3">
      <c r="B86" s="91" t="s">
        <v>15</v>
      </c>
      <c r="C86" s="70">
        <f t="shared" si="8"/>
        <v>187</v>
      </c>
      <c r="D86" s="71">
        <f t="shared" si="8"/>
        <v>178</v>
      </c>
      <c r="E86" s="70">
        <f t="shared" si="9"/>
        <v>365</v>
      </c>
      <c r="F86" s="126"/>
      <c r="G86" s="142"/>
      <c r="H86" s="142"/>
      <c r="I86" s="142"/>
      <c r="J86" s="142"/>
      <c r="K86" s="98"/>
    </row>
    <row r="87" spans="2:11" x14ac:dyDescent="0.25">
      <c r="B87" s="91" t="s">
        <v>16</v>
      </c>
      <c r="C87" s="70">
        <f t="shared" si="8"/>
        <v>184</v>
      </c>
      <c r="D87" s="71">
        <f t="shared" si="8"/>
        <v>166</v>
      </c>
      <c r="E87" s="70">
        <f t="shared" si="9"/>
        <v>350</v>
      </c>
      <c r="F87" s="87"/>
      <c r="G87" s="127" t="s">
        <v>150</v>
      </c>
      <c r="H87" s="69">
        <f>ROUND(H15*64%,0)</f>
        <v>38</v>
      </c>
      <c r="I87" s="260" t="s">
        <v>60</v>
      </c>
      <c r="J87" s="69">
        <f>SUM(C85:C89)</f>
        <v>1029</v>
      </c>
      <c r="K87" s="98"/>
    </row>
    <row r="88" spans="2:11" ht="15.75" thickBot="1" x14ac:dyDescent="0.3">
      <c r="B88" s="91" t="s">
        <v>17</v>
      </c>
      <c r="C88" s="70">
        <f t="shared" si="8"/>
        <v>207</v>
      </c>
      <c r="D88" s="71">
        <f t="shared" si="8"/>
        <v>169</v>
      </c>
      <c r="E88" s="70">
        <f t="shared" si="9"/>
        <v>376</v>
      </c>
      <c r="F88" s="87"/>
      <c r="G88" s="128" t="s">
        <v>151</v>
      </c>
      <c r="H88" s="70">
        <f t="shared" ref="H88:H97" si="12">ROUND(H16*64%,0)</f>
        <v>19</v>
      </c>
      <c r="I88" s="261" t="s">
        <v>61</v>
      </c>
      <c r="J88" s="51">
        <f>SUM(D90:D93)</f>
        <v>716</v>
      </c>
      <c r="K88" s="98"/>
    </row>
    <row r="89" spans="2:11" ht="15.75" thickBot="1" x14ac:dyDescent="0.3">
      <c r="B89" s="91" t="s">
        <v>18</v>
      </c>
      <c r="C89" s="70">
        <f t="shared" si="8"/>
        <v>241</v>
      </c>
      <c r="D89" s="71">
        <f t="shared" si="8"/>
        <v>207</v>
      </c>
      <c r="E89" s="70">
        <f t="shared" si="9"/>
        <v>448</v>
      </c>
      <c r="F89" s="87"/>
      <c r="G89" s="128" t="s">
        <v>152</v>
      </c>
      <c r="H89" s="70">
        <f t="shared" si="12"/>
        <v>32</v>
      </c>
      <c r="I89" s="104"/>
      <c r="J89" s="94"/>
      <c r="K89" s="98"/>
    </row>
    <row r="90" spans="2:11" x14ac:dyDescent="0.25">
      <c r="B90" s="91" t="s">
        <v>19</v>
      </c>
      <c r="C90" s="70">
        <f t="shared" si="8"/>
        <v>234</v>
      </c>
      <c r="D90" s="71">
        <f t="shared" si="8"/>
        <v>186</v>
      </c>
      <c r="E90" s="70">
        <f t="shared" si="9"/>
        <v>420</v>
      </c>
      <c r="F90" s="87"/>
      <c r="G90" s="128" t="s">
        <v>89</v>
      </c>
      <c r="H90" s="70">
        <f t="shared" si="12"/>
        <v>46</v>
      </c>
      <c r="I90" s="127" t="s">
        <v>153</v>
      </c>
      <c r="J90" s="198">
        <f>+H94+H95+H96+E83+E84</f>
        <v>1004</v>
      </c>
      <c r="K90" s="98"/>
    </row>
    <row r="91" spans="2:11" ht="15.75" thickBot="1" x14ac:dyDescent="0.3">
      <c r="B91" s="91" t="s">
        <v>20</v>
      </c>
      <c r="C91" s="70">
        <f t="shared" si="8"/>
        <v>215</v>
      </c>
      <c r="D91" s="71">
        <f t="shared" si="8"/>
        <v>193</v>
      </c>
      <c r="E91" s="70">
        <f t="shared" si="9"/>
        <v>408</v>
      </c>
      <c r="F91" s="87"/>
      <c r="G91" s="128" t="s">
        <v>90</v>
      </c>
      <c r="H91" s="70">
        <f t="shared" si="12"/>
        <v>51</v>
      </c>
      <c r="I91" s="259" t="s">
        <v>64</v>
      </c>
      <c r="J91" s="199">
        <f>SUM(E81:E84)</f>
        <v>1308</v>
      </c>
      <c r="K91" s="98"/>
    </row>
    <row r="92" spans="2:11" x14ac:dyDescent="0.25">
      <c r="B92" s="91" t="s">
        <v>21</v>
      </c>
      <c r="C92" s="70">
        <f t="shared" si="8"/>
        <v>224</v>
      </c>
      <c r="D92" s="71">
        <f t="shared" si="8"/>
        <v>197</v>
      </c>
      <c r="E92" s="70">
        <f t="shared" si="9"/>
        <v>421</v>
      </c>
      <c r="F92" s="87"/>
      <c r="G92" s="128" t="s">
        <v>169</v>
      </c>
      <c r="H92" s="70">
        <f t="shared" si="12"/>
        <v>61</v>
      </c>
      <c r="I92" s="142"/>
      <c r="J92" s="142"/>
      <c r="K92" s="98"/>
    </row>
    <row r="93" spans="2:11" x14ac:dyDescent="0.25">
      <c r="B93" s="91" t="s">
        <v>22</v>
      </c>
      <c r="C93" s="70">
        <f t="shared" si="8"/>
        <v>176</v>
      </c>
      <c r="D93" s="71">
        <f t="shared" si="8"/>
        <v>140</v>
      </c>
      <c r="E93" s="70">
        <f t="shared" si="9"/>
        <v>316</v>
      </c>
      <c r="F93" s="87"/>
      <c r="G93" s="128" t="s">
        <v>57</v>
      </c>
      <c r="H93" s="70">
        <f t="shared" si="12"/>
        <v>54</v>
      </c>
      <c r="I93" s="142"/>
      <c r="J93" s="142"/>
      <c r="K93" s="98"/>
    </row>
    <row r="94" spans="2:11" x14ac:dyDescent="0.25">
      <c r="B94" s="91" t="s">
        <v>23</v>
      </c>
      <c r="C94" s="70">
        <f t="shared" si="8"/>
        <v>140</v>
      </c>
      <c r="D94" s="71">
        <f t="shared" si="8"/>
        <v>127</v>
      </c>
      <c r="E94" s="70">
        <f t="shared" si="9"/>
        <v>267</v>
      </c>
      <c r="F94" s="87"/>
      <c r="G94" s="128" t="s">
        <v>168</v>
      </c>
      <c r="H94" s="70">
        <f t="shared" si="12"/>
        <v>65</v>
      </c>
      <c r="I94" s="142"/>
      <c r="J94" s="142"/>
      <c r="K94" s="98"/>
    </row>
    <row r="95" spans="2:11" x14ac:dyDescent="0.25">
      <c r="B95" s="91" t="s">
        <v>24</v>
      </c>
      <c r="C95" s="70">
        <f t="shared" si="8"/>
        <v>125</v>
      </c>
      <c r="D95" s="71">
        <f t="shared" si="8"/>
        <v>111</v>
      </c>
      <c r="E95" s="70">
        <f t="shared" si="9"/>
        <v>236</v>
      </c>
      <c r="F95" s="87"/>
      <c r="G95" s="128" t="s">
        <v>170</v>
      </c>
      <c r="H95" s="70">
        <f t="shared" si="12"/>
        <v>76</v>
      </c>
      <c r="I95" s="142"/>
      <c r="J95" s="142"/>
      <c r="K95" s="98"/>
    </row>
    <row r="96" spans="2:11" x14ac:dyDescent="0.25">
      <c r="B96" s="91" t="s">
        <v>25</v>
      </c>
      <c r="C96" s="70">
        <f t="shared" si="8"/>
        <v>89</v>
      </c>
      <c r="D96" s="71">
        <f t="shared" si="8"/>
        <v>73</v>
      </c>
      <c r="E96" s="70">
        <f t="shared" si="9"/>
        <v>162</v>
      </c>
      <c r="F96" s="87"/>
      <c r="G96" s="128" t="s">
        <v>171</v>
      </c>
      <c r="H96" s="70">
        <f t="shared" si="12"/>
        <v>73</v>
      </c>
      <c r="I96" s="142"/>
      <c r="J96" s="142"/>
      <c r="K96" s="98"/>
    </row>
    <row r="97" spans="1:22" x14ac:dyDescent="0.25">
      <c r="B97" s="91" t="s">
        <v>26</v>
      </c>
      <c r="C97" s="70">
        <f t="shared" si="8"/>
        <v>121</v>
      </c>
      <c r="D97" s="71">
        <f t="shared" si="8"/>
        <v>86</v>
      </c>
      <c r="E97" s="70">
        <f t="shared" si="9"/>
        <v>207</v>
      </c>
      <c r="F97" s="87"/>
      <c r="G97" s="128" t="s">
        <v>58</v>
      </c>
      <c r="H97" s="70">
        <f t="shared" si="12"/>
        <v>76</v>
      </c>
      <c r="I97" s="142"/>
      <c r="J97" s="142"/>
      <c r="K97" s="98"/>
    </row>
    <row r="98" spans="1:22" ht="15.75" thickBot="1" x14ac:dyDescent="0.3">
      <c r="B98" s="91" t="s">
        <v>98</v>
      </c>
      <c r="C98" s="70">
        <f t="shared" si="8"/>
        <v>0</v>
      </c>
      <c r="D98" s="71">
        <f t="shared" si="8"/>
        <v>0</v>
      </c>
      <c r="E98" s="70">
        <f>SUM(C98:D98)</f>
        <v>0</v>
      </c>
      <c r="F98" s="71"/>
      <c r="G98" s="259" t="s">
        <v>63</v>
      </c>
      <c r="H98" s="51">
        <f>ROUND(H26*64%,0)</f>
        <v>56</v>
      </c>
      <c r="I98" s="139"/>
      <c r="J98" s="142"/>
      <c r="K98" s="98"/>
    </row>
    <row r="99" spans="1:22" ht="15.75" thickBot="1" x14ac:dyDescent="0.3">
      <c r="B99" s="129" t="s">
        <v>14</v>
      </c>
      <c r="C99" s="93">
        <f>SUM(C81:C98)</f>
        <v>3043</v>
      </c>
      <c r="D99" s="93">
        <f>SUM(D81:D98)</f>
        <v>2640</v>
      </c>
      <c r="E99" s="93">
        <f>SUM(E81:E98)</f>
        <v>5683</v>
      </c>
      <c r="F99" s="154">
        <v>0.64</v>
      </c>
      <c r="G99" s="153"/>
      <c r="H99" s="153"/>
      <c r="I99" s="153"/>
      <c r="J99" s="153"/>
      <c r="K99" s="98"/>
    </row>
    <row r="100" spans="1:22" x14ac:dyDescent="0.25">
      <c r="A100" s="155"/>
      <c r="B100" s="155"/>
      <c r="C100" s="155"/>
      <c r="D100" s="155"/>
      <c r="E100" s="155"/>
      <c r="F100" s="155"/>
      <c r="I100" s="153"/>
      <c r="J100" s="153"/>
      <c r="K100" s="98"/>
    </row>
    <row r="101" spans="1:22" x14ac:dyDescent="0.25">
      <c r="A101" s="155"/>
      <c r="B101" s="155"/>
      <c r="C101" s="155"/>
      <c r="D101" s="155"/>
      <c r="E101" s="155"/>
      <c r="F101" s="155"/>
      <c r="G101" s="156"/>
      <c r="H101" s="153"/>
      <c r="I101" s="153"/>
      <c r="J101" s="153"/>
      <c r="K101" s="98"/>
    </row>
    <row r="102" spans="1:22" x14ac:dyDescent="0.25">
      <c r="A102" s="155"/>
      <c r="B102" s="155"/>
      <c r="C102" s="155"/>
      <c r="D102" s="155"/>
      <c r="E102" s="155"/>
      <c r="F102" s="155"/>
      <c r="G102" s="156"/>
      <c r="H102" s="153"/>
      <c r="I102" s="153"/>
      <c r="J102" s="153"/>
      <c r="K102" s="98"/>
    </row>
    <row r="103" spans="1:22" ht="15.75" thickBot="1" x14ac:dyDescent="0.3">
      <c r="B103" s="157"/>
      <c r="D103" s="130"/>
      <c r="F103" s="87"/>
      <c r="G103" s="153"/>
      <c r="H103" s="153"/>
      <c r="I103" s="153"/>
      <c r="J103" s="153"/>
      <c r="K103" s="98"/>
    </row>
    <row r="104" spans="1:22" ht="26.25" customHeight="1" thickBot="1" x14ac:dyDescent="0.3">
      <c r="B104" s="294" t="s">
        <v>45</v>
      </c>
      <c r="C104" s="296" t="s">
        <v>84</v>
      </c>
      <c r="D104" s="297"/>
      <c r="E104" s="298"/>
      <c r="F104" s="87"/>
      <c r="G104" s="294" t="s">
        <v>45</v>
      </c>
      <c r="H104" s="296" t="s">
        <v>84</v>
      </c>
      <c r="I104" s="297"/>
      <c r="J104" s="298"/>
      <c r="K104" s="98"/>
    </row>
    <row r="105" spans="1:22" ht="15.75" thickBot="1" x14ac:dyDescent="0.3">
      <c r="B105" s="295"/>
      <c r="C105" s="95" t="s">
        <v>2</v>
      </c>
      <c r="D105" s="96" t="s">
        <v>3</v>
      </c>
      <c r="E105" s="97" t="s">
        <v>4</v>
      </c>
      <c r="F105" s="101"/>
      <c r="G105" s="295"/>
      <c r="H105" s="95" t="s">
        <v>2</v>
      </c>
      <c r="I105" s="96" t="s">
        <v>3</v>
      </c>
      <c r="J105" s="97" t="s">
        <v>4</v>
      </c>
      <c r="K105" s="98"/>
      <c r="L105" s="99"/>
      <c r="M105" s="158"/>
      <c r="N105" s="158"/>
      <c r="O105" s="158"/>
      <c r="P105" s="158"/>
      <c r="Q105" s="158"/>
      <c r="R105" s="158"/>
      <c r="S105" s="159"/>
      <c r="T105" s="159"/>
      <c r="U105" s="159"/>
      <c r="V105" s="131"/>
    </row>
    <row r="106" spans="1:22" ht="15" customHeight="1" x14ac:dyDescent="0.25">
      <c r="B106" s="91" t="s">
        <v>32</v>
      </c>
      <c r="C106" s="70">
        <f t="shared" ref="C106:D123" si="13">ROUND(C9*36%,0)</f>
        <v>55</v>
      </c>
      <c r="D106" s="71">
        <f t="shared" si="13"/>
        <v>51</v>
      </c>
      <c r="E106" s="69">
        <f t="shared" ref="E106:E122" si="14">SUM(C106:D106)</f>
        <v>106</v>
      </c>
      <c r="F106" s="160"/>
      <c r="G106" s="88" t="s">
        <v>6</v>
      </c>
      <c r="H106" s="69">
        <f>SUM(C106:C107)</f>
        <v>153</v>
      </c>
      <c r="I106" s="132">
        <f>SUM(D106:D107)</f>
        <v>138</v>
      </c>
      <c r="J106" s="69">
        <f>SUM(E106:E107)</f>
        <v>291</v>
      </c>
      <c r="K106" s="98"/>
      <c r="L106" s="161"/>
      <c r="M106" s="158"/>
      <c r="N106" s="158"/>
      <c r="O106" s="158"/>
      <c r="P106" s="158"/>
      <c r="Q106" s="158"/>
      <c r="R106" s="158"/>
      <c r="S106" s="159"/>
      <c r="T106" s="159"/>
      <c r="U106" s="159"/>
      <c r="V106" s="131"/>
    </row>
    <row r="107" spans="1:22" ht="15" customHeight="1" x14ac:dyDescent="0.25">
      <c r="B107" s="125" t="s">
        <v>7</v>
      </c>
      <c r="C107" s="70">
        <f t="shared" si="13"/>
        <v>98</v>
      </c>
      <c r="D107" s="71">
        <f t="shared" si="13"/>
        <v>87</v>
      </c>
      <c r="E107" s="70">
        <f t="shared" si="14"/>
        <v>185</v>
      </c>
      <c r="F107" s="101"/>
      <c r="G107" s="90" t="s">
        <v>8</v>
      </c>
      <c r="H107" s="70">
        <f>SUM(C108:C109)</f>
        <v>235</v>
      </c>
      <c r="I107" s="133">
        <f>SUM(D108:D109)</f>
        <v>209</v>
      </c>
      <c r="J107" s="70">
        <f>SUM(E108:E109)</f>
        <v>444</v>
      </c>
      <c r="K107" s="98"/>
      <c r="L107" s="162"/>
      <c r="M107" s="158"/>
      <c r="N107" s="158"/>
      <c r="O107" s="158"/>
      <c r="P107" s="158"/>
      <c r="Q107" s="158"/>
      <c r="R107" s="158"/>
      <c r="S107" s="159"/>
      <c r="T107" s="159"/>
      <c r="U107" s="159"/>
      <c r="V107" s="131"/>
    </row>
    <row r="108" spans="1:22" ht="15" customHeight="1" x14ac:dyDescent="0.25">
      <c r="B108" s="91" t="s">
        <v>59</v>
      </c>
      <c r="C108" s="70">
        <f t="shared" si="13"/>
        <v>116</v>
      </c>
      <c r="D108" s="71">
        <f t="shared" si="13"/>
        <v>101</v>
      </c>
      <c r="E108" s="70">
        <f t="shared" si="14"/>
        <v>217</v>
      </c>
      <c r="F108" s="160"/>
      <c r="G108" s="90" t="s">
        <v>10</v>
      </c>
      <c r="H108" s="70">
        <f>SUM(C110:C118)</f>
        <v>1055</v>
      </c>
      <c r="I108" s="133">
        <f>SUM(D110:D118)</f>
        <v>912</v>
      </c>
      <c r="J108" s="70">
        <f>SUM(E110:E118)</f>
        <v>1967</v>
      </c>
      <c r="K108" s="98"/>
      <c r="L108" s="99"/>
      <c r="M108" s="158"/>
      <c r="N108" s="158"/>
      <c r="O108" s="158"/>
      <c r="P108" s="158"/>
      <c r="Q108" s="158"/>
      <c r="R108" s="158"/>
      <c r="S108" s="159"/>
      <c r="T108" s="159"/>
      <c r="U108" s="159"/>
      <c r="V108" s="131"/>
    </row>
    <row r="109" spans="1:22" ht="15" customHeight="1" thickBot="1" x14ac:dyDescent="0.3">
      <c r="B109" s="91" t="s">
        <v>11</v>
      </c>
      <c r="C109" s="70">
        <f t="shared" si="13"/>
        <v>119</v>
      </c>
      <c r="D109" s="71">
        <f t="shared" si="13"/>
        <v>108</v>
      </c>
      <c r="E109" s="70">
        <f t="shared" si="14"/>
        <v>227</v>
      </c>
      <c r="F109" s="160"/>
      <c r="G109" s="90" t="s">
        <v>12</v>
      </c>
      <c r="H109" s="70">
        <f>SUM(C119:C122)</f>
        <v>266</v>
      </c>
      <c r="I109" s="133">
        <f>SUM(D119:D122)</f>
        <v>224</v>
      </c>
      <c r="J109" s="70">
        <f>SUM(E119:E122)</f>
        <v>490</v>
      </c>
      <c r="K109" s="98"/>
      <c r="L109" s="99"/>
      <c r="M109" s="158"/>
      <c r="N109" s="158"/>
      <c r="O109" s="158"/>
      <c r="P109" s="158"/>
      <c r="Q109" s="158"/>
      <c r="R109" s="158"/>
      <c r="S109" s="159"/>
      <c r="T109" s="159"/>
      <c r="U109" s="159"/>
      <c r="V109" s="131"/>
    </row>
    <row r="110" spans="1:22" ht="15" customHeight="1" thickBot="1" x14ac:dyDescent="0.3">
      <c r="B110" s="91" t="s">
        <v>13</v>
      </c>
      <c r="C110" s="70">
        <f t="shared" si="13"/>
        <v>118</v>
      </c>
      <c r="D110" s="71">
        <f t="shared" si="13"/>
        <v>106</v>
      </c>
      <c r="E110" s="70">
        <f t="shared" si="14"/>
        <v>224</v>
      </c>
      <c r="F110" s="160"/>
      <c r="G110" s="92" t="s">
        <v>14</v>
      </c>
      <c r="H110" s="258">
        <f>SUM(H106:H109)</f>
        <v>1709</v>
      </c>
      <c r="I110" s="258">
        <f t="shared" ref="I110" si="15">SUM(I106:I109)</f>
        <v>1483</v>
      </c>
      <c r="J110" s="93">
        <f t="shared" ref="J110" si="16">SUM(J106:J109)</f>
        <v>3192</v>
      </c>
      <c r="K110" s="98"/>
      <c r="L110" s="99"/>
      <c r="M110" s="158"/>
      <c r="N110" s="158"/>
      <c r="O110" s="158"/>
      <c r="P110" s="158"/>
      <c r="Q110" s="158"/>
      <c r="R110" s="158"/>
      <c r="S110" s="159"/>
      <c r="T110" s="159"/>
      <c r="U110" s="159"/>
      <c r="V110" s="131"/>
    </row>
    <row r="111" spans="1:22" ht="15" customHeight="1" thickBot="1" x14ac:dyDescent="0.3">
      <c r="B111" s="91" t="s">
        <v>15</v>
      </c>
      <c r="C111" s="70">
        <f t="shared" si="13"/>
        <v>105</v>
      </c>
      <c r="D111" s="71">
        <f t="shared" si="13"/>
        <v>100</v>
      </c>
      <c r="E111" s="70">
        <f t="shared" si="14"/>
        <v>205</v>
      </c>
      <c r="F111" s="160"/>
      <c r="G111" s="142"/>
      <c r="H111" s="142"/>
      <c r="I111" s="142"/>
      <c r="J111" s="142"/>
      <c r="K111" s="98"/>
      <c r="L111" s="99"/>
      <c r="M111" s="158"/>
      <c r="N111" s="158"/>
      <c r="O111" s="158"/>
      <c r="P111" s="158"/>
      <c r="Q111" s="158"/>
      <c r="R111" s="158"/>
      <c r="S111" s="159"/>
      <c r="T111" s="159"/>
      <c r="U111" s="159"/>
      <c r="V111" s="131"/>
    </row>
    <row r="112" spans="1:22" ht="15" customHeight="1" x14ac:dyDescent="0.25">
      <c r="B112" s="91" t="s">
        <v>16</v>
      </c>
      <c r="C112" s="70">
        <f t="shared" si="13"/>
        <v>103</v>
      </c>
      <c r="D112" s="71">
        <f t="shared" si="13"/>
        <v>94</v>
      </c>
      <c r="E112" s="70">
        <f t="shared" si="14"/>
        <v>197</v>
      </c>
      <c r="F112" s="160"/>
      <c r="G112" s="127" t="s">
        <v>150</v>
      </c>
      <c r="H112" s="69">
        <f>ROUND(H15*36%,0)</f>
        <v>22</v>
      </c>
      <c r="I112" s="260" t="s">
        <v>60</v>
      </c>
      <c r="J112" s="69">
        <f>SUM(C110:C114)</f>
        <v>577</v>
      </c>
      <c r="K112" s="98"/>
      <c r="L112" s="99"/>
      <c r="M112" s="158"/>
      <c r="N112" s="158"/>
      <c r="O112" s="158"/>
      <c r="P112" s="158"/>
      <c r="Q112" s="158"/>
      <c r="R112" s="158"/>
      <c r="S112" s="159"/>
      <c r="T112" s="159"/>
      <c r="U112" s="159"/>
      <c r="V112" s="131"/>
    </row>
    <row r="113" spans="2:22" ht="15" customHeight="1" thickBot="1" x14ac:dyDescent="0.3">
      <c r="B113" s="91" t="s">
        <v>17</v>
      </c>
      <c r="C113" s="70">
        <f t="shared" si="13"/>
        <v>116</v>
      </c>
      <c r="D113" s="71">
        <f t="shared" si="13"/>
        <v>95</v>
      </c>
      <c r="E113" s="70">
        <f t="shared" si="14"/>
        <v>211</v>
      </c>
      <c r="F113" s="160"/>
      <c r="G113" s="128" t="s">
        <v>151</v>
      </c>
      <c r="H113" s="70">
        <f t="shared" ref="H113:H123" si="17">ROUND(H16*36%,0)</f>
        <v>11</v>
      </c>
      <c r="I113" s="261" t="s">
        <v>61</v>
      </c>
      <c r="J113" s="51">
        <f>SUM(D115:D118)</f>
        <v>401</v>
      </c>
      <c r="K113" s="98"/>
      <c r="L113" s="99"/>
      <c r="M113" s="158"/>
      <c r="N113" s="158"/>
      <c r="O113" s="158"/>
      <c r="P113" s="158"/>
      <c r="Q113" s="158"/>
      <c r="R113" s="158"/>
      <c r="S113" s="159"/>
      <c r="T113" s="159"/>
      <c r="U113" s="159"/>
      <c r="V113" s="131"/>
    </row>
    <row r="114" spans="2:22" ht="15" customHeight="1" thickBot="1" x14ac:dyDescent="0.3">
      <c r="B114" s="91" t="s">
        <v>18</v>
      </c>
      <c r="C114" s="70">
        <f t="shared" si="13"/>
        <v>135</v>
      </c>
      <c r="D114" s="71">
        <f t="shared" si="13"/>
        <v>116</v>
      </c>
      <c r="E114" s="70">
        <f t="shared" si="14"/>
        <v>251</v>
      </c>
      <c r="F114" s="160"/>
      <c r="G114" s="128" t="s">
        <v>152</v>
      </c>
      <c r="H114" s="70">
        <f t="shared" si="17"/>
        <v>18</v>
      </c>
      <c r="I114" s="104"/>
      <c r="J114" s="94"/>
      <c r="K114" s="98"/>
      <c r="L114" s="99"/>
      <c r="M114" s="158"/>
      <c r="N114" s="158"/>
      <c r="O114" s="158"/>
      <c r="P114" s="158"/>
      <c r="Q114" s="158"/>
      <c r="R114" s="158"/>
      <c r="S114" s="159"/>
      <c r="T114" s="159"/>
      <c r="U114" s="159"/>
      <c r="V114" s="131"/>
    </row>
    <row r="115" spans="2:22" ht="15" customHeight="1" x14ac:dyDescent="0.25">
      <c r="B115" s="91" t="s">
        <v>19</v>
      </c>
      <c r="C115" s="70">
        <f t="shared" si="13"/>
        <v>132</v>
      </c>
      <c r="D115" s="71">
        <f t="shared" si="13"/>
        <v>104</v>
      </c>
      <c r="E115" s="70">
        <f t="shared" si="14"/>
        <v>236</v>
      </c>
      <c r="F115" s="163"/>
      <c r="G115" s="128" t="s">
        <v>89</v>
      </c>
      <c r="H115" s="70">
        <f t="shared" si="17"/>
        <v>26</v>
      </c>
      <c r="I115" s="127" t="s">
        <v>153</v>
      </c>
      <c r="J115" s="198">
        <f>+H119+H120+H121+E108+E109</f>
        <v>565</v>
      </c>
      <c r="K115" s="98"/>
      <c r="L115" s="99"/>
      <c r="M115" s="158"/>
      <c r="N115" s="158"/>
      <c r="O115" s="158"/>
      <c r="P115" s="158"/>
      <c r="Q115" s="158"/>
      <c r="R115" s="158"/>
      <c r="S115" s="159"/>
      <c r="T115" s="159"/>
      <c r="U115" s="159"/>
      <c r="V115" s="131"/>
    </row>
    <row r="116" spans="2:22" ht="15" customHeight="1" thickBot="1" x14ac:dyDescent="0.3">
      <c r="B116" s="91" t="s">
        <v>20</v>
      </c>
      <c r="C116" s="70">
        <f t="shared" si="13"/>
        <v>121</v>
      </c>
      <c r="D116" s="71">
        <f t="shared" si="13"/>
        <v>108</v>
      </c>
      <c r="E116" s="70">
        <f t="shared" si="14"/>
        <v>229</v>
      </c>
      <c r="F116" s="160"/>
      <c r="G116" s="128" t="s">
        <v>90</v>
      </c>
      <c r="H116" s="70">
        <f t="shared" si="17"/>
        <v>29</v>
      </c>
      <c r="I116" s="259" t="s">
        <v>64</v>
      </c>
      <c r="J116" s="199">
        <f>SUM(E106:E109)</f>
        <v>735</v>
      </c>
      <c r="K116" s="98"/>
      <c r="L116" s="99"/>
      <c r="M116" s="158"/>
      <c r="N116" s="158"/>
      <c r="O116" s="158"/>
      <c r="P116" s="158"/>
      <c r="Q116" s="158"/>
      <c r="R116" s="158"/>
      <c r="S116" s="159"/>
      <c r="T116" s="159"/>
      <c r="U116" s="159"/>
      <c r="V116" s="131"/>
    </row>
    <row r="117" spans="2:22" ht="15" customHeight="1" x14ac:dyDescent="0.25">
      <c r="B117" s="91" t="s">
        <v>21</v>
      </c>
      <c r="C117" s="70">
        <f t="shared" si="13"/>
        <v>126</v>
      </c>
      <c r="D117" s="71">
        <f t="shared" si="13"/>
        <v>111</v>
      </c>
      <c r="E117" s="70">
        <f t="shared" si="14"/>
        <v>237</v>
      </c>
      <c r="F117" s="160"/>
      <c r="G117" s="128" t="s">
        <v>169</v>
      </c>
      <c r="H117" s="70">
        <f t="shared" si="17"/>
        <v>35</v>
      </c>
      <c r="I117" s="142"/>
      <c r="J117" s="142"/>
      <c r="K117" s="98"/>
      <c r="L117" s="99"/>
      <c r="M117" s="158"/>
      <c r="N117" s="158"/>
      <c r="O117" s="158"/>
      <c r="P117" s="158"/>
      <c r="Q117" s="158"/>
      <c r="R117" s="158"/>
      <c r="S117" s="159"/>
      <c r="T117" s="159"/>
      <c r="U117" s="159"/>
      <c r="V117" s="131"/>
    </row>
    <row r="118" spans="2:22" ht="15" customHeight="1" x14ac:dyDescent="0.25">
      <c r="B118" s="91" t="s">
        <v>22</v>
      </c>
      <c r="C118" s="70">
        <f t="shared" si="13"/>
        <v>99</v>
      </c>
      <c r="D118" s="71">
        <f t="shared" si="13"/>
        <v>78</v>
      </c>
      <c r="E118" s="70">
        <f t="shared" si="14"/>
        <v>177</v>
      </c>
      <c r="F118" s="160"/>
      <c r="G118" s="128" t="s">
        <v>57</v>
      </c>
      <c r="H118" s="70">
        <f t="shared" si="17"/>
        <v>30</v>
      </c>
      <c r="I118" s="142"/>
      <c r="J118" s="142"/>
      <c r="L118" s="99"/>
      <c r="M118" s="158"/>
      <c r="N118" s="158"/>
      <c r="O118" s="158"/>
      <c r="P118" s="158"/>
      <c r="Q118" s="158"/>
      <c r="R118" s="158"/>
      <c r="S118" s="159"/>
      <c r="T118" s="159"/>
      <c r="U118" s="159"/>
      <c r="V118" s="131"/>
    </row>
    <row r="119" spans="2:22" ht="15" customHeight="1" x14ac:dyDescent="0.25">
      <c r="B119" s="91" t="s">
        <v>23</v>
      </c>
      <c r="C119" s="70">
        <f t="shared" si="13"/>
        <v>78</v>
      </c>
      <c r="D119" s="71">
        <f t="shared" si="13"/>
        <v>72</v>
      </c>
      <c r="E119" s="70">
        <f t="shared" si="14"/>
        <v>150</v>
      </c>
      <c r="F119" s="160"/>
      <c r="G119" s="128" t="s">
        <v>168</v>
      </c>
      <c r="H119" s="70">
        <f t="shared" si="17"/>
        <v>37</v>
      </c>
      <c r="I119" s="142"/>
      <c r="J119" s="142"/>
      <c r="L119" s="99"/>
      <c r="M119" s="158"/>
      <c r="N119" s="158"/>
      <c r="O119" s="158"/>
      <c r="P119" s="158"/>
      <c r="Q119" s="158"/>
      <c r="R119" s="158"/>
      <c r="S119" s="159"/>
      <c r="T119" s="159"/>
      <c r="U119" s="159"/>
      <c r="V119" s="131"/>
    </row>
    <row r="120" spans="2:22" ht="15" customHeight="1" x14ac:dyDescent="0.25">
      <c r="B120" s="91" t="s">
        <v>24</v>
      </c>
      <c r="C120" s="70">
        <f t="shared" si="13"/>
        <v>70</v>
      </c>
      <c r="D120" s="71">
        <f t="shared" si="13"/>
        <v>62</v>
      </c>
      <c r="E120" s="70">
        <f t="shared" si="14"/>
        <v>132</v>
      </c>
      <c r="F120" s="160"/>
      <c r="G120" s="128" t="s">
        <v>170</v>
      </c>
      <c r="H120" s="70">
        <f t="shared" si="17"/>
        <v>43</v>
      </c>
      <c r="I120" s="142"/>
      <c r="J120" s="142"/>
      <c r="L120" s="99"/>
      <c r="M120" s="158"/>
      <c r="N120" s="158"/>
      <c r="O120" s="158"/>
      <c r="P120" s="158"/>
      <c r="Q120" s="158"/>
      <c r="R120" s="158"/>
      <c r="S120" s="159"/>
      <c r="T120" s="159"/>
      <c r="U120" s="159"/>
      <c r="V120" s="131"/>
    </row>
    <row r="121" spans="2:22" ht="15" customHeight="1" x14ac:dyDescent="0.25">
      <c r="B121" s="91" t="s">
        <v>25</v>
      </c>
      <c r="C121" s="70">
        <f t="shared" si="13"/>
        <v>50</v>
      </c>
      <c r="D121" s="71">
        <f t="shared" si="13"/>
        <v>41</v>
      </c>
      <c r="E121" s="70">
        <f t="shared" si="14"/>
        <v>91</v>
      </c>
      <c r="F121" s="163"/>
      <c r="G121" s="128" t="s">
        <v>171</v>
      </c>
      <c r="H121" s="70">
        <f t="shared" si="17"/>
        <v>41</v>
      </c>
      <c r="I121" s="142"/>
      <c r="J121" s="142"/>
      <c r="L121" s="99"/>
      <c r="M121" s="158"/>
      <c r="N121" s="158"/>
      <c r="O121" s="158"/>
      <c r="P121" s="158"/>
      <c r="Q121" s="158"/>
      <c r="R121" s="158"/>
      <c r="S121" s="159"/>
      <c r="T121" s="159"/>
      <c r="U121" s="159"/>
      <c r="V121" s="131"/>
    </row>
    <row r="122" spans="2:22" ht="15" customHeight="1" x14ac:dyDescent="0.25">
      <c r="B122" s="91" t="s">
        <v>26</v>
      </c>
      <c r="C122" s="70">
        <f t="shared" si="13"/>
        <v>68</v>
      </c>
      <c r="D122" s="71">
        <f t="shared" si="13"/>
        <v>49</v>
      </c>
      <c r="E122" s="70">
        <f t="shared" si="14"/>
        <v>117</v>
      </c>
      <c r="F122" s="160"/>
      <c r="G122" s="128" t="s">
        <v>58</v>
      </c>
      <c r="H122" s="70">
        <f t="shared" si="17"/>
        <v>43</v>
      </c>
      <c r="I122" s="142"/>
      <c r="J122" s="142"/>
      <c r="L122" s="99"/>
      <c r="M122" s="158"/>
      <c r="N122" s="158"/>
      <c r="O122" s="158"/>
      <c r="P122" s="158"/>
      <c r="Q122" s="158"/>
      <c r="R122" s="158"/>
      <c r="S122" s="159"/>
      <c r="T122" s="159"/>
      <c r="U122" s="159"/>
      <c r="V122" s="131"/>
    </row>
    <row r="123" spans="2:22" ht="15" customHeight="1" thickBot="1" x14ac:dyDescent="0.3">
      <c r="B123" s="91" t="s">
        <v>98</v>
      </c>
      <c r="C123" s="70">
        <f t="shared" si="13"/>
        <v>0</v>
      </c>
      <c r="D123" s="71">
        <f t="shared" si="13"/>
        <v>0</v>
      </c>
      <c r="E123" s="70">
        <f>SUM(C123:D123)</f>
        <v>0</v>
      </c>
      <c r="F123" s="71"/>
      <c r="G123" s="259" t="s">
        <v>63</v>
      </c>
      <c r="H123" s="51">
        <f t="shared" si="17"/>
        <v>32</v>
      </c>
      <c r="I123" s="139"/>
      <c r="J123" s="142"/>
      <c r="L123" s="99"/>
      <c r="M123" s="158"/>
      <c r="N123" s="158"/>
      <c r="O123" s="158"/>
      <c r="P123" s="158"/>
      <c r="Q123" s="158"/>
      <c r="R123" s="158"/>
      <c r="S123" s="159"/>
      <c r="T123" s="159"/>
      <c r="U123" s="159"/>
      <c r="V123" s="131"/>
    </row>
    <row r="124" spans="2:22" ht="15" customHeight="1" thickBot="1" x14ac:dyDescent="0.3">
      <c r="B124" s="129" t="s">
        <v>14</v>
      </c>
      <c r="C124" s="93">
        <f>SUM(C106:C123)</f>
        <v>1709</v>
      </c>
      <c r="D124" s="93">
        <f>SUM(D106:D123)</f>
        <v>1483</v>
      </c>
      <c r="E124" s="93">
        <f>SUM(E106:E123)</f>
        <v>3192</v>
      </c>
      <c r="F124" s="154">
        <v>0.36</v>
      </c>
      <c r="G124" s="160"/>
      <c r="H124" s="160"/>
      <c r="I124" s="160"/>
      <c r="J124" s="160"/>
      <c r="L124" s="100"/>
      <c r="M124" s="159"/>
      <c r="N124" s="159"/>
      <c r="O124" s="159"/>
      <c r="P124" s="159"/>
      <c r="Q124" s="159"/>
      <c r="R124" s="159"/>
      <c r="S124" s="159"/>
      <c r="T124" s="159"/>
      <c r="U124" s="159"/>
      <c r="V124" s="131"/>
    </row>
    <row r="125" spans="2:22" x14ac:dyDescent="0.25">
      <c r="B125" s="161"/>
      <c r="D125" s="130"/>
      <c r="F125" s="160"/>
      <c r="I125" s="160"/>
      <c r="J125" s="160"/>
    </row>
    <row r="126" spans="2:22" x14ac:dyDescent="0.25">
      <c r="B126" s="162"/>
      <c r="C126" s="160"/>
      <c r="D126" s="160"/>
      <c r="E126" s="160"/>
      <c r="F126" s="160"/>
      <c r="G126" s="160"/>
      <c r="H126" s="160"/>
      <c r="I126" s="160"/>
      <c r="J126" s="160"/>
    </row>
    <row r="127" spans="2:22" x14ac:dyDescent="0.25">
      <c r="B127" s="162"/>
      <c r="C127" s="160"/>
      <c r="D127" s="163"/>
      <c r="E127" s="163"/>
      <c r="F127" s="163"/>
      <c r="G127" s="163"/>
      <c r="H127" s="163"/>
      <c r="I127" s="163"/>
      <c r="J127" s="163"/>
    </row>
    <row r="128" spans="2:22" x14ac:dyDescent="0.25">
      <c r="B128" s="99"/>
      <c r="C128" s="160"/>
      <c r="D128" s="160"/>
      <c r="E128" s="160"/>
      <c r="F128" s="160"/>
      <c r="G128" s="160"/>
      <c r="H128" s="160"/>
      <c r="I128" s="160"/>
      <c r="J128" s="160"/>
    </row>
    <row r="129" spans="2:10" x14ac:dyDescent="0.25">
      <c r="B129" s="99"/>
      <c r="C129" s="160"/>
      <c r="D129" s="160"/>
      <c r="E129" s="160"/>
      <c r="F129" s="160"/>
      <c r="G129" s="160"/>
      <c r="H129" s="160"/>
      <c r="I129" s="160"/>
      <c r="J129" s="160"/>
    </row>
    <row r="130" spans="2:10" x14ac:dyDescent="0.25">
      <c r="B130" s="99"/>
      <c r="C130" s="160"/>
      <c r="D130" s="160"/>
      <c r="E130" s="160"/>
      <c r="F130" s="160"/>
      <c r="G130" s="160"/>
      <c r="H130" s="160"/>
      <c r="I130" s="160"/>
      <c r="J130" s="160"/>
    </row>
    <row r="131" spans="2:10" x14ac:dyDescent="0.25">
      <c r="B131" s="99"/>
      <c r="C131" s="160"/>
      <c r="D131" s="160"/>
      <c r="E131" s="160"/>
      <c r="F131" s="160"/>
      <c r="G131" s="160"/>
      <c r="H131" s="160"/>
      <c r="I131" s="160"/>
      <c r="J131" s="160"/>
    </row>
    <row r="132" spans="2:10" x14ac:dyDescent="0.25">
      <c r="B132" s="99"/>
      <c r="C132" s="160"/>
      <c r="D132" s="160"/>
      <c r="E132" s="160"/>
      <c r="F132" s="160"/>
      <c r="G132" s="160"/>
      <c r="H132" s="160"/>
      <c r="I132" s="160"/>
      <c r="J132" s="160"/>
    </row>
    <row r="133" spans="2:10" x14ac:dyDescent="0.25">
      <c r="B133" s="99"/>
      <c r="C133" s="160"/>
      <c r="D133" s="160"/>
      <c r="E133" s="160"/>
      <c r="F133" s="160"/>
      <c r="G133" s="160"/>
      <c r="H133" s="160"/>
      <c r="I133" s="160"/>
      <c r="J133" s="160"/>
    </row>
    <row r="134" spans="2:10" x14ac:dyDescent="0.25">
      <c r="B134" s="99"/>
      <c r="C134" s="160"/>
      <c r="D134" s="160"/>
      <c r="E134" s="160"/>
      <c r="F134" s="160"/>
      <c r="G134" s="160"/>
      <c r="H134" s="160"/>
      <c r="I134" s="160"/>
      <c r="J134" s="160"/>
    </row>
    <row r="135" spans="2:10" x14ac:dyDescent="0.25">
      <c r="B135" s="99"/>
      <c r="C135" s="160"/>
      <c r="D135" s="160"/>
      <c r="E135" s="160"/>
      <c r="F135" s="160"/>
      <c r="G135" s="160"/>
      <c r="H135" s="160"/>
      <c r="I135" s="160"/>
      <c r="J135" s="160"/>
    </row>
    <row r="136" spans="2:10" x14ac:dyDescent="0.25">
      <c r="B136" s="99"/>
      <c r="C136" s="160"/>
      <c r="D136" s="160"/>
      <c r="E136" s="160"/>
      <c r="F136" s="160"/>
      <c r="G136" s="160"/>
      <c r="H136" s="160"/>
      <c r="I136" s="160"/>
      <c r="J136" s="160"/>
    </row>
    <row r="137" spans="2:10" x14ac:dyDescent="0.25">
      <c r="B137" s="99"/>
      <c r="C137" s="160"/>
      <c r="D137" s="160"/>
      <c r="E137" s="160"/>
      <c r="F137" s="160"/>
      <c r="G137" s="160"/>
      <c r="H137" s="160"/>
      <c r="I137" s="160"/>
      <c r="J137" s="160"/>
    </row>
    <row r="138" spans="2:10" x14ac:dyDescent="0.25">
      <c r="B138" s="99"/>
      <c r="C138" s="160"/>
      <c r="D138" s="160"/>
      <c r="E138" s="160"/>
      <c r="F138" s="160"/>
      <c r="G138" s="160"/>
      <c r="H138" s="160"/>
      <c r="I138" s="160"/>
      <c r="J138" s="160"/>
    </row>
    <row r="139" spans="2:10" x14ac:dyDescent="0.25">
      <c r="B139" s="99"/>
      <c r="C139" s="160"/>
      <c r="D139" s="160"/>
      <c r="E139" s="160"/>
      <c r="F139" s="160"/>
      <c r="G139" s="160"/>
      <c r="H139" s="160"/>
      <c r="I139" s="160"/>
      <c r="J139" s="160"/>
    </row>
    <row r="140" spans="2:10" x14ac:dyDescent="0.25">
      <c r="B140" s="99"/>
      <c r="C140" s="160"/>
      <c r="D140" s="160"/>
      <c r="E140" s="160"/>
      <c r="F140" s="160"/>
      <c r="G140" s="160"/>
      <c r="H140" s="160"/>
      <c r="I140" s="160"/>
      <c r="J140" s="160"/>
    </row>
    <row r="141" spans="2:10" x14ac:dyDescent="0.25">
      <c r="B141" s="99"/>
      <c r="C141" s="160"/>
      <c r="D141" s="160"/>
      <c r="E141" s="160"/>
      <c r="F141" s="160"/>
      <c r="G141" s="160"/>
      <c r="H141" s="160"/>
      <c r="I141" s="160"/>
      <c r="J141" s="160"/>
    </row>
    <row r="142" spans="2:10" x14ac:dyDescent="0.25">
      <c r="B142" s="100"/>
      <c r="C142" s="160"/>
      <c r="D142" s="160"/>
      <c r="E142" s="160"/>
      <c r="F142" s="160"/>
      <c r="G142" s="160"/>
      <c r="H142" s="160"/>
      <c r="I142" s="160"/>
      <c r="J142" s="160"/>
    </row>
    <row r="143" spans="2:10" x14ac:dyDescent="0.25">
      <c r="B143" s="87"/>
      <c r="C143" s="160"/>
      <c r="D143" s="160"/>
      <c r="E143" s="160"/>
      <c r="F143" s="160"/>
      <c r="G143" s="160"/>
      <c r="H143" s="160"/>
      <c r="I143" s="160"/>
      <c r="J143" s="160"/>
    </row>
    <row r="144" spans="2:10" x14ac:dyDescent="0.25">
      <c r="B144" s="87"/>
      <c r="C144" s="87"/>
      <c r="D144" s="87"/>
      <c r="E144" s="87"/>
      <c r="F144" s="87"/>
      <c r="G144" s="87"/>
      <c r="H144" s="87"/>
      <c r="I144" s="87"/>
      <c r="J144" s="87"/>
    </row>
    <row r="145" spans="2:10" x14ac:dyDescent="0.25">
      <c r="B145" s="87"/>
      <c r="C145" s="87"/>
      <c r="D145" s="87"/>
      <c r="E145" s="87"/>
      <c r="F145" s="87"/>
      <c r="G145" s="87"/>
      <c r="H145" s="87"/>
      <c r="I145" s="87"/>
      <c r="J145" s="87"/>
    </row>
    <row r="146" spans="2:10" x14ac:dyDescent="0.25">
      <c r="B146" s="87"/>
      <c r="C146" s="87"/>
      <c r="D146" s="87"/>
      <c r="E146" s="87"/>
      <c r="F146" s="87"/>
      <c r="G146" s="87"/>
      <c r="H146" s="87"/>
      <c r="I146" s="87"/>
      <c r="J146" s="87"/>
    </row>
    <row r="147" spans="2:10" x14ac:dyDescent="0.25">
      <c r="B147" s="87"/>
      <c r="C147" s="87"/>
      <c r="D147" s="87"/>
      <c r="E147" s="87"/>
      <c r="F147" s="87"/>
      <c r="G147" s="87"/>
      <c r="H147" s="87"/>
      <c r="I147" s="87"/>
      <c r="J147" s="87"/>
    </row>
  </sheetData>
  <mergeCells count="24">
    <mergeCell ref="B2:J2"/>
    <mergeCell ref="B1:J1"/>
    <mergeCell ref="G4:J5"/>
    <mergeCell ref="C79:E79"/>
    <mergeCell ref="G7:G8"/>
    <mergeCell ref="H7:J7"/>
    <mergeCell ref="B7:B8"/>
    <mergeCell ref="C7:E7"/>
    <mergeCell ref="B31:B32"/>
    <mergeCell ref="C31:E31"/>
    <mergeCell ref="G31:G32"/>
    <mergeCell ref="H31:J31"/>
    <mergeCell ref="B55:B56"/>
    <mergeCell ref="G29:J29"/>
    <mergeCell ref="C55:E55"/>
    <mergeCell ref="G55:G56"/>
    <mergeCell ref="H55:J55"/>
    <mergeCell ref="B104:B105"/>
    <mergeCell ref="G104:G105"/>
    <mergeCell ref="H104:J104"/>
    <mergeCell ref="G79:G80"/>
    <mergeCell ref="H79:J79"/>
    <mergeCell ref="B79:B80"/>
    <mergeCell ref="C104:E104"/>
  </mergeCells>
  <printOptions horizontalCentered="1"/>
  <pageMargins left="0.35433070866141736" right="0.35433070866141736" top="0.51181102362204722" bottom="0.55118110236220474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rowBreaks count="1" manualBreakCount="1">
    <brk id="78" max="16383" man="1"/>
  </rowBreaks>
  <ignoredErrors>
    <ignoredError sqref="H10:I12 H57:I60 H34:I36 H33:I33 J63:J64 J40" formulaRange="1"/>
    <ignoredError sqref="E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1"/>
  <sheetViews>
    <sheetView zoomScaleNormal="100" workbookViewId="0">
      <pane ySplit="5" topLeftCell="A6" activePane="bottomLeft" state="frozen"/>
      <selection activeCell="B2" sqref="B2:T2"/>
      <selection pane="bottomLeft" activeCell="L72" sqref="L72"/>
    </sheetView>
  </sheetViews>
  <sheetFormatPr baseColWidth="10" defaultRowHeight="15" x14ac:dyDescent="0.25"/>
  <cols>
    <col min="1" max="1" width="0.85546875" style="86" customWidth="1"/>
    <col min="2" max="2" width="18" style="86" customWidth="1"/>
    <col min="3" max="3" width="14.85546875" style="86" customWidth="1"/>
    <col min="4" max="5" width="13.5703125" style="86" customWidth="1"/>
    <col min="6" max="6" width="12.28515625" style="86" customWidth="1"/>
    <col min="7" max="7" width="17.85546875" style="86" customWidth="1"/>
    <col min="8" max="8" width="13" style="86" customWidth="1"/>
    <col min="9" max="9" width="17.7109375" style="86" customWidth="1"/>
    <col min="10" max="10" width="13" style="86" customWidth="1"/>
    <col min="11" max="11" width="1.42578125" style="86" customWidth="1"/>
    <col min="12" max="12" width="17.85546875" style="86" customWidth="1"/>
    <col min="13" max="13" width="8.140625" style="86" customWidth="1"/>
    <col min="14" max="14" width="6" style="86" customWidth="1"/>
    <col min="15" max="16384" width="11.42578125" style="86"/>
  </cols>
  <sheetData>
    <row r="1" spans="2:18" s="106" customFormat="1" ht="19.5" customHeight="1" x14ac:dyDescent="0.25">
      <c r="B1" s="277" t="str">
        <f>+OSORNO!B1</f>
        <v>POBLACIÓN INSCRITA VALIDADA POR FONASA AÑO 2020 SEGÚN SEXO Y EDAD</v>
      </c>
      <c r="C1" s="277"/>
      <c r="D1" s="277"/>
      <c r="E1" s="277"/>
      <c r="F1" s="277"/>
      <c r="G1" s="277"/>
      <c r="H1" s="277"/>
      <c r="I1" s="277"/>
      <c r="J1" s="277"/>
    </row>
    <row r="2" spans="2:18" s="106" customFormat="1" ht="19.5" customHeight="1" x14ac:dyDescent="0.25">
      <c r="B2" s="284" t="s">
        <v>96</v>
      </c>
      <c r="C2" s="284"/>
      <c r="D2" s="284"/>
      <c r="E2" s="284"/>
      <c r="F2" s="284"/>
      <c r="G2" s="284"/>
      <c r="H2" s="284"/>
      <c r="I2" s="284"/>
      <c r="J2" s="284"/>
    </row>
    <row r="3" spans="2:18" x14ac:dyDescent="0.25">
      <c r="B3" s="216"/>
      <c r="C3" s="216"/>
      <c r="D3" s="216"/>
      <c r="E3" s="216"/>
      <c r="F3" s="216"/>
    </row>
    <row r="4" spans="2:18" x14ac:dyDescent="0.25">
      <c r="B4" s="134" t="s">
        <v>66</v>
      </c>
      <c r="C4" s="135" t="s">
        <v>33</v>
      </c>
      <c r="D4" s="217"/>
      <c r="E4" s="216"/>
      <c r="F4" s="216"/>
      <c r="G4" s="291" t="s">
        <v>167</v>
      </c>
      <c r="H4" s="291"/>
      <c r="I4" s="291"/>
      <c r="J4" s="291"/>
      <c r="K4" s="104"/>
      <c r="L4" s="104"/>
      <c r="M4" s="104"/>
      <c r="N4" s="104"/>
      <c r="O4" s="104"/>
      <c r="P4" s="104"/>
      <c r="Q4" s="104"/>
      <c r="R4" s="104"/>
    </row>
    <row r="5" spans="2:18" x14ac:dyDescent="0.25">
      <c r="B5" s="134" t="s">
        <v>44</v>
      </c>
      <c r="C5" s="137">
        <v>10307</v>
      </c>
      <c r="G5" s="291"/>
      <c r="H5" s="291"/>
      <c r="I5" s="291"/>
      <c r="J5" s="291"/>
    </row>
    <row r="6" spans="2:18" ht="15.75" thickBot="1" x14ac:dyDescent="0.3">
      <c r="B6" s="47" t="s">
        <v>114</v>
      </c>
      <c r="D6" s="48"/>
    </row>
    <row r="7" spans="2:18" ht="30" customHeight="1" thickBot="1" x14ac:dyDescent="0.3">
      <c r="B7" s="278" t="s">
        <v>45</v>
      </c>
      <c r="C7" s="280" t="s">
        <v>68</v>
      </c>
      <c r="D7" s="281"/>
      <c r="E7" s="282"/>
      <c r="F7" s="138"/>
      <c r="G7" s="278" t="s">
        <v>45</v>
      </c>
      <c r="H7" s="280" t="s">
        <v>68</v>
      </c>
      <c r="I7" s="281"/>
      <c r="J7" s="282"/>
    </row>
    <row r="8" spans="2:18" ht="15.75" thickBot="1" x14ac:dyDescent="0.3">
      <c r="B8" s="279"/>
      <c r="C8" s="82" t="s">
        <v>2</v>
      </c>
      <c r="D8" s="83" t="s">
        <v>3</v>
      </c>
      <c r="E8" s="84" t="s">
        <v>4</v>
      </c>
      <c r="F8" s="139"/>
      <c r="G8" s="283"/>
      <c r="H8" s="82" t="s">
        <v>2</v>
      </c>
      <c r="I8" s="83" t="s">
        <v>3</v>
      </c>
      <c r="J8" s="84" t="s">
        <v>4</v>
      </c>
    </row>
    <row r="9" spans="2:18" x14ac:dyDescent="0.25">
      <c r="B9" s="107" t="s">
        <v>5</v>
      </c>
      <c r="C9" s="70">
        <v>223</v>
      </c>
      <c r="D9" s="71">
        <v>202</v>
      </c>
      <c r="E9" s="69">
        <f>SUM(C9:D9)</f>
        <v>425</v>
      </c>
      <c r="F9" s="140"/>
      <c r="G9" s="79" t="s">
        <v>6</v>
      </c>
      <c r="H9" s="76">
        <f>SUM(C9:C10)</f>
        <v>583</v>
      </c>
      <c r="I9" s="69">
        <f>SUM(D9:D10)</f>
        <v>525</v>
      </c>
      <c r="J9" s="69">
        <f t="shared" ref="J9:J12" si="0">SUM(H9:I9)</f>
        <v>1108</v>
      </c>
    </row>
    <row r="10" spans="2:18" x14ac:dyDescent="0.25">
      <c r="B10" s="109" t="s">
        <v>7</v>
      </c>
      <c r="C10" s="70">
        <v>360</v>
      </c>
      <c r="D10" s="71">
        <v>323</v>
      </c>
      <c r="E10" s="70">
        <f t="shared" ref="E10:E26" si="1">SUM(C10:D10)</f>
        <v>683</v>
      </c>
      <c r="F10" s="139"/>
      <c r="G10" s="80" t="s">
        <v>8</v>
      </c>
      <c r="H10" s="71">
        <f>SUM(C11:C12)</f>
        <v>713</v>
      </c>
      <c r="I10" s="70">
        <f>SUM(D11:D12)</f>
        <v>700</v>
      </c>
      <c r="J10" s="70">
        <f t="shared" si="0"/>
        <v>1413</v>
      </c>
    </row>
    <row r="11" spans="2:18" x14ac:dyDescent="0.25">
      <c r="B11" s="107" t="s">
        <v>59</v>
      </c>
      <c r="C11" s="70">
        <v>328</v>
      </c>
      <c r="D11" s="71">
        <v>307</v>
      </c>
      <c r="E11" s="70">
        <f t="shared" si="1"/>
        <v>635</v>
      </c>
      <c r="F11" s="139"/>
      <c r="G11" s="80" t="s">
        <v>10</v>
      </c>
      <c r="H11" s="71">
        <f>SUM(C13:C21)</f>
        <v>3083</v>
      </c>
      <c r="I11" s="70">
        <f>SUM(D13:D21)</f>
        <v>3056</v>
      </c>
      <c r="J11" s="70">
        <f t="shared" si="0"/>
        <v>6139</v>
      </c>
    </row>
    <row r="12" spans="2:18" ht="15.75" thickBot="1" x14ac:dyDescent="0.3">
      <c r="B12" s="107" t="s">
        <v>11</v>
      </c>
      <c r="C12" s="70">
        <v>385</v>
      </c>
      <c r="D12" s="71">
        <v>393</v>
      </c>
      <c r="E12" s="70">
        <f t="shared" si="1"/>
        <v>778</v>
      </c>
      <c r="F12" s="139"/>
      <c r="G12" s="80" t="s">
        <v>12</v>
      </c>
      <c r="H12" s="71">
        <f>SUM(C22:C25)</f>
        <v>792</v>
      </c>
      <c r="I12" s="70">
        <f>SUM(D22:D25)</f>
        <v>832</v>
      </c>
      <c r="J12" s="70">
        <f t="shared" si="0"/>
        <v>1624</v>
      </c>
    </row>
    <row r="13" spans="2:18" ht="15.75" thickBot="1" x14ac:dyDescent="0.3">
      <c r="B13" s="107" t="s">
        <v>13</v>
      </c>
      <c r="C13" s="70">
        <v>381</v>
      </c>
      <c r="D13" s="71">
        <v>382</v>
      </c>
      <c r="E13" s="70">
        <f t="shared" si="1"/>
        <v>763</v>
      </c>
      <c r="F13" s="139"/>
      <c r="G13" s="81" t="s">
        <v>14</v>
      </c>
      <c r="H13" s="78">
        <f>SUM(H9:H12)</f>
        <v>5171</v>
      </c>
      <c r="I13" s="78">
        <f t="shared" ref="I13:J13" si="2">SUM(I9:I12)</f>
        <v>5113</v>
      </c>
      <c r="J13" s="74">
        <f t="shared" si="2"/>
        <v>10284</v>
      </c>
    </row>
    <row r="14" spans="2:18" ht="15.75" thickBot="1" x14ac:dyDescent="0.3">
      <c r="B14" s="107" t="s">
        <v>15</v>
      </c>
      <c r="C14" s="70">
        <v>396</v>
      </c>
      <c r="D14" s="71">
        <v>367</v>
      </c>
      <c r="E14" s="70">
        <f t="shared" si="1"/>
        <v>763</v>
      </c>
      <c r="F14" s="139"/>
      <c r="G14" s="254"/>
      <c r="H14" s="254"/>
      <c r="I14" s="254"/>
      <c r="J14" s="254"/>
    </row>
    <row r="15" spans="2:18" x14ac:dyDescent="0.25">
      <c r="B15" s="107" t="s">
        <v>16</v>
      </c>
      <c r="C15" s="70">
        <v>315</v>
      </c>
      <c r="D15" s="71">
        <v>312</v>
      </c>
      <c r="E15" s="70">
        <f t="shared" si="1"/>
        <v>627</v>
      </c>
      <c r="F15" s="139"/>
      <c r="G15" s="269" t="s">
        <v>150</v>
      </c>
      <c r="H15" s="250">
        <v>88</v>
      </c>
      <c r="I15" s="267" t="s">
        <v>60</v>
      </c>
      <c r="J15" s="69">
        <f>SUM(C13:C17)</f>
        <v>1687</v>
      </c>
    </row>
    <row r="16" spans="2:18" ht="15.75" thickBot="1" x14ac:dyDescent="0.3">
      <c r="B16" s="107" t="s">
        <v>17</v>
      </c>
      <c r="C16" s="70">
        <v>309</v>
      </c>
      <c r="D16" s="71">
        <v>322</v>
      </c>
      <c r="E16" s="70">
        <f t="shared" si="1"/>
        <v>631</v>
      </c>
      <c r="F16" s="139"/>
      <c r="G16" s="85" t="s">
        <v>151</v>
      </c>
      <c r="H16" s="251">
        <v>43</v>
      </c>
      <c r="I16" s="268" t="s">
        <v>61</v>
      </c>
      <c r="J16" s="51">
        <f>SUM(D18:D21)</f>
        <v>1335</v>
      </c>
    </row>
    <row r="17" spans="1:16" ht="15.75" thickBot="1" x14ac:dyDescent="0.3">
      <c r="B17" s="107" t="s">
        <v>18</v>
      </c>
      <c r="C17" s="70">
        <v>286</v>
      </c>
      <c r="D17" s="71">
        <v>338</v>
      </c>
      <c r="E17" s="70">
        <f t="shared" si="1"/>
        <v>624</v>
      </c>
      <c r="F17" s="139"/>
      <c r="G17" s="85" t="s">
        <v>152</v>
      </c>
      <c r="H17" s="251">
        <v>59</v>
      </c>
      <c r="I17" s="47"/>
      <c r="J17" s="142"/>
    </row>
    <row r="18" spans="1:16" ht="15" customHeight="1" x14ac:dyDescent="0.25">
      <c r="B18" s="107" t="s">
        <v>19</v>
      </c>
      <c r="C18" s="70">
        <v>333</v>
      </c>
      <c r="D18" s="71">
        <v>346</v>
      </c>
      <c r="E18" s="70">
        <f t="shared" si="1"/>
        <v>679</v>
      </c>
      <c r="F18" s="139"/>
      <c r="G18" s="85" t="s">
        <v>89</v>
      </c>
      <c r="H18" s="251">
        <v>107</v>
      </c>
      <c r="I18" s="267" t="s">
        <v>153</v>
      </c>
      <c r="J18" s="69">
        <f>+H22+H23+H24+E11+E12</f>
        <v>1841</v>
      </c>
    </row>
    <row r="19" spans="1:16" ht="15.75" thickBot="1" x14ac:dyDescent="0.3">
      <c r="B19" s="107" t="s">
        <v>20</v>
      </c>
      <c r="C19" s="70">
        <v>393</v>
      </c>
      <c r="D19" s="71">
        <v>373</v>
      </c>
      <c r="E19" s="70">
        <f t="shared" si="1"/>
        <v>766</v>
      </c>
      <c r="F19" s="139"/>
      <c r="G19" s="85" t="s">
        <v>90</v>
      </c>
      <c r="H19" s="251">
        <v>128</v>
      </c>
      <c r="I19" s="268" t="s">
        <v>64</v>
      </c>
      <c r="J19" s="51">
        <f>SUM(E9:E12)</f>
        <v>2521</v>
      </c>
    </row>
    <row r="20" spans="1:16" x14ac:dyDescent="0.25">
      <c r="B20" s="107" t="s">
        <v>21</v>
      </c>
      <c r="C20" s="70">
        <v>379</v>
      </c>
      <c r="D20" s="71">
        <v>330</v>
      </c>
      <c r="E20" s="70">
        <f t="shared" si="1"/>
        <v>709</v>
      </c>
      <c r="F20" s="139"/>
      <c r="G20" s="85" t="s">
        <v>169</v>
      </c>
      <c r="H20" s="251">
        <v>122</v>
      </c>
      <c r="I20" s="255"/>
      <c r="J20" s="256"/>
      <c r="L20" s="98"/>
    </row>
    <row r="21" spans="1:16" x14ac:dyDescent="0.25">
      <c r="B21" s="107" t="s">
        <v>22</v>
      </c>
      <c r="C21" s="70">
        <v>291</v>
      </c>
      <c r="D21" s="71">
        <v>286</v>
      </c>
      <c r="E21" s="70">
        <f t="shared" si="1"/>
        <v>577</v>
      </c>
      <c r="F21" s="139"/>
      <c r="G21" s="85" t="s">
        <v>57</v>
      </c>
      <c r="H21" s="251">
        <v>133</v>
      </c>
      <c r="I21" s="255"/>
      <c r="J21" s="257"/>
      <c r="L21" s="98"/>
    </row>
    <row r="22" spans="1:16" x14ac:dyDescent="0.25">
      <c r="B22" s="107" t="s">
        <v>23</v>
      </c>
      <c r="C22" s="70">
        <v>248</v>
      </c>
      <c r="D22" s="71">
        <v>271</v>
      </c>
      <c r="E22" s="70">
        <f t="shared" si="1"/>
        <v>519</v>
      </c>
      <c r="F22" s="139"/>
      <c r="G22" s="85" t="s">
        <v>168</v>
      </c>
      <c r="H22" s="251">
        <v>119</v>
      </c>
      <c r="I22" s="254"/>
      <c r="J22" s="126"/>
      <c r="L22" s="98"/>
      <c r="M22" s="98"/>
      <c r="N22" s="98"/>
      <c r="O22" s="98"/>
      <c r="P22" s="98"/>
    </row>
    <row r="23" spans="1:16" x14ac:dyDescent="0.25">
      <c r="B23" s="107" t="s">
        <v>24</v>
      </c>
      <c r="C23" s="70">
        <v>195</v>
      </c>
      <c r="D23" s="71">
        <v>199</v>
      </c>
      <c r="E23" s="70">
        <f t="shared" si="1"/>
        <v>394</v>
      </c>
      <c r="F23" s="139"/>
      <c r="G23" s="85" t="s">
        <v>170</v>
      </c>
      <c r="H23" s="251">
        <v>154</v>
      </c>
      <c r="I23" s="254"/>
      <c r="J23" s="254"/>
      <c r="L23" s="98"/>
      <c r="M23" s="98"/>
      <c r="N23" s="98"/>
      <c r="O23" s="98"/>
      <c r="P23" s="98"/>
    </row>
    <row r="24" spans="1:16" x14ac:dyDescent="0.25">
      <c r="B24" s="107" t="s">
        <v>25</v>
      </c>
      <c r="C24" s="70">
        <v>166</v>
      </c>
      <c r="D24" s="71">
        <v>172</v>
      </c>
      <c r="E24" s="70">
        <f t="shared" si="1"/>
        <v>338</v>
      </c>
      <c r="F24" s="111"/>
      <c r="G24" s="85" t="s">
        <v>171</v>
      </c>
      <c r="H24" s="251">
        <v>155</v>
      </c>
      <c r="I24" s="126"/>
      <c r="J24" s="126"/>
      <c r="K24" s="87"/>
      <c r="L24" s="98"/>
      <c r="M24" s="98"/>
      <c r="N24" s="98"/>
      <c r="O24" s="98"/>
      <c r="P24" s="98"/>
    </row>
    <row r="25" spans="1:16" x14ac:dyDescent="0.25">
      <c r="B25" s="107" t="s">
        <v>26</v>
      </c>
      <c r="C25" s="70">
        <v>183</v>
      </c>
      <c r="D25" s="71">
        <v>190</v>
      </c>
      <c r="E25" s="70">
        <f t="shared" si="1"/>
        <v>373</v>
      </c>
      <c r="F25" s="111"/>
      <c r="G25" s="85" t="s">
        <v>58</v>
      </c>
      <c r="H25" s="251">
        <v>145</v>
      </c>
      <c r="I25" s="126"/>
      <c r="J25" s="126"/>
      <c r="K25" s="87"/>
      <c r="L25" s="98"/>
      <c r="M25" s="98"/>
      <c r="N25" s="98"/>
      <c r="O25" s="98"/>
      <c r="P25" s="98"/>
    </row>
    <row r="26" spans="1:16" ht="15.75" customHeight="1" thickBot="1" x14ac:dyDescent="0.3">
      <c r="B26" s="107" t="s">
        <v>98</v>
      </c>
      <c r="C26" s="70"/>
      <c r="D26" s="71"/>
      <c r="E26" s="70">
        <f t="shared" si="1"/>
        <v>0</v>
      </c>
      <c r="F26" s="111"/>
      <c r="G26" s="144" t="s">
        <v>63</v>
      </c>
      <c r="H26" s="252">
        <v>127</v>
      </c>
      <c r="I26" s="254"/>
      <c r="J26" s="254"/>
      <c r="K26" s="87"/>
      <c r="L26" s="98"/>
      <c r="M26" s="98"/>
      <c r="N26" s="98"/>
      <c r="O26" s="98"/>
      <c r="P26" s="98"/>
    </row>
    <row r="27" spans="1:16" ht="15.75" thickBot="1" x14ac:dyDescent="0.3">
      <c r="B27" s="112" t="s">
        <v>14</v>
      </c>
      <c r="C27" s="74">
        <f>SUM(C9:C26)</f>
        <v>5171</v>
      </c>
      <c r="D27" s="74">
        <f>SUM(D9:D26)</f>
        <v>5113</v>
      </c>
      <c r="E27" s="74">
        <f>SUM(E9:E26)</f>
        <v>10284</v>
      </c>
      <c r="F27" s="111"/>
      <c r="G27" s="111"/>
      <c r="H27" s="111"/>
      <c r="I27" s="111"/>
      <c r="J27" s="111"/>
      <c r="K27" s="87"/>
      <c r="L27" s="98"/>
      <c r="M27" s="98"/>
      <c r="N27" s="98"/>
      <c r="O27" s="98"/>
      <c r="P27" s="98"/>
    </row>
    <row r="28" spans="1:16" x14ac:dyDescent="0.25">
      <c r="A28" s="218"/>
      <c r="B28" s="302" t="s">
        <v>163</v>
      </c>
      <c r="C28" s="302"/>
      <c r="D28" s="302"/>
      <c r="E28" s="302"/>
      <c r="F28" s="218"/>
      <c r="I28" s="219"/>
      <c r="J28" s="219"/>
      <c r="K28" s="87"/>
      <c r="L28" s="98"/>
      <c r="M28" s="98"/>
      <c r="N28" s="98"/>
      <c r="O28" s="98"/>
      <c r="P28" s="98"/>
    </row>
    <row r="29" spans="1:16" x14ac:dyDescent="0.25">
      <c r="A29" s="218"/>
      <c r="B29" s="303"/>
      <c r="C29" s="303"/>
      <c r="D29" s="303"/>
      <c r="E29" s="303"/>
      <c r="F29" s="207"/>
      <c r="G29" s="299" t="s">
        <v>157</v>
      </c>
      <c r="H29" s="299"/>
      <c r="I29" s="299"/>
      <c r="J29" s="299"/>
      <c r="K29" s="87"/>
      <c r="L29" s="98"/>
      <c r="M29" s="98"/>
      <c r="N29" s="98"/>
      <c r="O29" s="98"/>
      <c r="P29" s="98"/>
    </row>
    <row r="30" spans="1:16" ht="15.75" thickBot="1" x14ac:dyDescent="0.3">
      <c r="K30" s="87"/>
      <c r="L30" s="98"/>
      <c r="M30" s="98"/>
      <c r="N30" s="98"/>
      <c r="O30" s="98"/>
      <c r="P30" s="98"/>
    </row>
    <row r="31" spans="1:16" ht="32.25" customHeight="1" thickBot="1" x14ac:dyDescent="0.3">
      <c r="B31" s="294" t="s">
        <v>45</v>
      </c>
      <c r="C31" s="296" t="s">
        <v>83</v>
      </c>
      <c r="D31" s="297"/>
      <c r="E31" s="298"/>
      <c r="F31" s="220"/>
      <c r="G31" s="294" t="s">
        <v>45</v>
      </c>
      <c r="H31" s="296" t="s">
        <v>83</v>
      </c>
      <c r="I31" s="297"/>
      <c r="J31" s="298"/>
      <c r="K31" s="87"/>
      <c r="L31" s="98"/>
      <c r="M31" s="98"/>
      <c r="N31" s="98"/>
      <c r="O31" s="98"/>
      <c r="P31" s="98"/>
    </row>
    <row r="32" spans="1:16" ht="18" customHeight="1" thickBot="1" x14ac:dyDescent="0.3">
      <c r="B32" s="295"/>
      <c r="C32" s="95" t="s">
        <v>2</v>
      </c>
      <c r="D32" s="96" t="s">
        <v>3</v>
      </c>
      <c r="E32" s="97" t="s">
        <v>34</v>
      </c>
      <c r="F32" s="105"/>
      <c r="G32" s="295"/>
      <c r="H32" s="95" t="s">
        <v>2</v>
      </c>
      <c r="I32" s="96" t="s">
        <v>3</v>
      </c>
      <c r="J32" s="97" t="s">
        <v>4</v>
      </c>
      <c r="K32" s="87"/>
      <c r="L32" s="98"/>
      <c r="M32" s="98"/>
      <c r="N32" s="98"/>
      <c r="O32" s="98"/>
      <c r="P32" s="98"/>
    </row>
    <row r="33" spans="2:12" x14ac:dyDescent="0.25">
      <c r="B33" s="91" t="s">
        <v>5</v>
      </c>
      <c r="C33" s="69">
        <f t="shared" ref="C33:D50" si="3">ROUND(C9*84%,0)</f>
        <v>187</v>
      </c>
      <c r="D33" s="76">
        <f t="shared" si="3"/>
        <v>170</v>
      </c>
      <c r="E33" s="69">
        <f>SUM(C33:D33)</f>
        <v>357</v>
      </c>
      <c r="F33" s="221"/>
      <c r="G33" s="88" t="s">
        <v>6</v>
      </c>
      <c r="H33" s="69">
        <f>SUM(C33:C34)</f>
        <v>489</v>
      </c>
      <c r="I33" s="89">
        <f>SUM(D33:D34)</f>
        <v>441</v>
      </c>
      <c r="J33" s="69">
        <f>SUM(H33:I33)</f>
        <v>930</v>
      </c>
    </row>
    <row r="34" spans="2:12" x14ac:dyDescent="0.25">
      <c r="B34" s="125" t="s">
        <v>7</v>
      </c>
      <c r="C34" s="70">
        <f t="shared" si="3"/>
        <v>302</v>
      </c>
      <c r="D34" s="71">
        <f t="shared" si="3"/>
        <v>271</v>
      </c>
      <c r="E34" s="70">
        <f t="shared" ref="E34:E50" si="4">SUM(C34:D34)</f>
        <v>573</v>
      </c>
      <c r="F34" s="221"/>
      <c r="G34" s="90" t="s">
        <v>8</v>
      </c>
      <c r="H34" s="70">
        <f>SUM(C35:C36)</f>
        <v>599</v>
      </c>
      <c r="I34" s="57">
        <f>SUM(D35:D36)</f>
        <v>588</v>
      </c>
      <c r="J34" s="70">
        <f>SUM(H34:I34)</f>
        <v>1187</v>
      </c>
    </row>
    <row r="35" spans="2:12" x14ac:dyDescent="0.25">
      <c r="B35" s="91" t="s">
        <v>59</v>
      </c>
      <c r="C35" s="70">
        <f t="shared" si="3"/>
        <v>276</v>
      </c>
      <c r="D35" s="71">
        <f t="shared" si="3"/>
        <v>258</v>
      </c>
      <c r="E35" s="70">
        <f t="shared" si="4"/>
        <v>534</v>
      </c>
      <c r="F35" s="221"/>
      <c r="G35" s="90" t="s">
        <v>10</v>
      </c>
      <c r="H35" s="70">
        <f>SUM(C37:C45)</f>
        <v>2590</v>
      </c>
      <c r="I35" s="57">
        <f>SUM(D37:D45)</f>
        <v>2566</v>
      </c>
      <c r="J35" s="70">
        <f>SUM(H35:I35)</f>
        <v>5156</v>
      </c>
    </row>
    <row r="36" spans="2:12" ht="15.75" thickBot="1" x14ac:dyDescent="0.3">
      <c r="B36" s="91" t="s">
        <v>11</v>
      </c>
      <c r="C36" s="70">
        <f t="shared" si="3"/>
        <v>323</v>
      </c>
      <c r="D36" s="71">
        <f t="shared" si="3"/>
        <v>330</v>
      </c>
      <c r="E36" s="70">
        <f t="shared" si="4"/>
        <v>653</v>
      </c>
      <c r="F36" s="221"/>
      <c r="G36" s="90" t="s">
        <v>12</v>
      </c>
      <c r="H36" s="70">
        <f>SUM(C46:C49)</f>
        <v>665</v>
      </c>
      <c r="I36" s="57">
        <f>SUM(D46:D49)</f>
        <v>699</v>
      </c>
      <c r="J36" s="70">
        <f>SUM(H36:I36)</f>
        <v>1364</v>
      </c>
    </row>
    <row r="37" spans="2:12" ht="15.75" thickBot="1" x14ac:dyDescent="0.3">
      <c r="B37" s="91" t="s">
        <v>13</v>
      </c>
      <c r="C37" s="70">
        <f t="shared" si="3"/>
        <v>320</v>
      </c>
      <c r="D37" s="71">
        <f t="shared" si="3"/>
        <v>321</v>
      </c>
      <c r="E37" s="70">
        <f t="shared" si="4"/>
        <v>641</v>
      </c>
      <c r="F37" s="221"/>
      <c r="G37" s="92" t="s">
        <v>14</v>
      </c>
      <c r="H37" s="258">
        <f>SUM(H33:H36)</f>
        <v>4343</v>
      </c>
      <c r="I37" s="258">
        <f t="shared" ref="I37:J37" si="5">SUM(I33:I36)</f>
        <v>4294</v>
      </c>
      <c r="J37" s="93">
        <f t="shared" si="5"/>
        <v>8637</v>
      </c>
    </row>
    <row r="38" spans="2:12" ht="15.75" thickBot="1" x14ac:dyDescent="0.3">
      <c r="B38" s="91" t="s">
        <v>15</v>
      </c>
      <c r="C38" s="70">
        <f t="shared" si="3"/>
        <v>333</v>
      </c>
      <c r="D38" s="71">
        <f t="shared" si="3"/>
        <v>308</v>
      </c>
      <c r="E38" s="70">
        <f t="shared" si="4"/>
        <v>641</v>
      </c>
      <c r="F38" s="221"/>
      <c r="G38" s="142"/>
      <c r="H38" s="142"/>
      <c r="I38" s="142"/>
      <c r="J38" s="142"/>
    </row>
    <row r="39" spans="2:12" x14ac:dyDescent="0.25">
      <c r="B39" s="91" t="s">
        <v>16</v>
      </c>
      <c r="C39" s="70">
        <f t="shared" si="3"/>
        <v>265</v>
      </c>
      <c r="D39" s="71">
        <f t="shared" si="3"/>
        <v>262</v>
      </c>
      <c r="E39" s="70">
        <f t="shared" si="4"/>
        <v>527</v>
      </c>
      <c r="F39" s="221"/>
      <c r="G39" s="127" t="s">
        <v>150</v>
      </c>
      <c r="H39" s="69">
        <f>ROUND(H15*84%,0)</f>
        <v>74</v>
      </c>
      <c r="I39" s="260" t="s">
        <v>60</v>
      </c>
      <c r="J39" s="69">
        <f>SUM(C37:C41)</f>
        <v>1418</v>
      </c>
    </row>
    <row r="40" spans="2:12" ht="15.75" thickBot="1" x14ac:dyDescent="0.3">
      <c r="B40" s="91" t="s">
        <v>17</v>
      </c>
      <c r="C40" s="70">
        <f t="shared" si="3"/>
        <v>260</v>
      </c>
      <c r="D40" s="71">
        <f t="shared" si="3"/>
        <v>270</v>
      </c>
      <c r="E40" s="70">
        <f t="shared" si="4"/>
        <v>530</v>
      </c>
      <c r="F40" s="221"/>
      <c r="G40" s="128" t="s">
        <v>151</v>
      </c>
      <c r="H40" s="70">
        <f t="shared" ref="H40:H49" si="6">ROUND(H16*84%,0)</f>
        <v>36</v>
      </c>
      <c r="I40" s="261" t="s">
        <v>61</v>
      </c>
      <c r="J40" s="51">
        <f>SUM(D42:D45)</f>
        <v>1121</v>
      </c>
      <c r="K40" s="104" t="s">
        <v>65</v>
      </c>
    </row>
    <row r="41" spans="2:12" ht="15.75" thickBot="1" x14ac:dyDescent="0.3">
      <c r="B41" s="91" t="s">
        <v>18</v>
      </c>
      <c r="C41" s="70">
        <f t="shared" si="3"/>
        <v>240</v>
      </c>
      <c r="D41" s="71">
        <f t="shared" si="3"/>
        <v>284</v>
      </c>
      <c r="E41" s="70">
        <f t="shared" si="4"/>
        <v>524</v>
      </c>
      <c r="F41" s="221"/>
      <c r="G41" s="128" t="s">
        <v>152</v>
      </c>
      <c r="H41" s="70">
        <f t="shared" si="6"/>
        <v>50</v>
      </c>
      <c r="I41" s="104"/>
      <c r="J41" s="94"/>
      <c r="K41" s="104" t="s">
        <v>65</v>
      </c>
    </row>
    <row r="42" spans="2:12" x14ac:dyDescent="0.25">
      <c r="B42" s="91" t="s">
        <v>19</v>
      </c>
      <c r="C42" s="70">
        <f t="shared" si="3"/>
        <v>280</v>
      </c>
      <c r="D42" s="71">
        <f t="shared" si="3"/>
        <v>291</v>
      </c>
      <c r="E42" s="70">
        <f t="shared" si="4"/>
        <v>571</v>
      </c>
      <c r="F42" s="221"/>
      <c r="G42" s="128" t="s">
        <v>89</v>
      </c>
      <c r="H42" s="70">
        <f t="shared" si="6"/>
        <v>90</v>
      </c>
      <c r="I42" s="127" t="s">
        <v>153</v>
      </c>
      <c r="J42" s="198">
        <f>+H46+H47+H48+E35+E36</f>
        <v>1546</v>
      </c>
      <c r="K42" s="104" t="s">
        <v>65</v>
      </c>
    </row>
    <row r="43" spans="2:12" ht="15.75" thickBot="1" x14ac:dyDescent="0.3">
      <c r="B43" s="91" t="s">
        <v>20</v>
      </c>
      <c r="C43" s="70">
        <f t="shared" si="3"/>
        <v>330</v>
      </c>
      <c r="D43" s="71">
        <f t="shared" si="3"/>
        <v>313</v>
      </c>
      <c r="E43" s="70">
        <f t="shared" si="4"/>
        <v>643</v>
      </c>
      <c r="F43" s="221"/>
      <c r="G43" s="128" t="s">
        <v>90</v>
      </c>
      <c r="H43" s="70">
        <f t="shared" si="6"/>
        <v>108</v>
      </c>
      <c r="I43" s="259" t="s">
        <v>64</v>
      </c>
      <c r="J43" s="199">
        <f>SUM(E33:E36)</f>
        <v>2117</v>
      </c>
      <c r="K43" s="104" t="s">
        <v>65</v>
      </c>
    </row>
    <row r="44" spans="2:12" x14ac:dyDescent="0.25">
      <c r="B44" s="91" t="s">
        <v>21</v>
      </c>
      <c r="C44" s="70">
        <f t="shared" si="3"/>
        <v>318</v>
      </c>
      <c r="D44" s="71">
        <f t="shared" si="3"/>
        <v>277</v>
      </c>
      <c r="E44" s="70">
        <f t="shared" si="4"/>
        <v>595</v>
      </c>
      <c r="F44" s="221"/>
      <c r="G44" s="128" t="s">
        <v>169</v>
      </c>
      <c r="H44" s="70">
        <f t="shared" si="6"/>
        <v>102</v>
      </c>
      <c r="I44" s="142"/>
      <c r="J44" s="142"/>
      <c r="K44" s="104" t="s">
        <v>62</v>
      </c>
    </row>
    <row r="45" spans="2:12" x14ac:dyDescent="0.25">
      <c r="B45" s="91" t="s">
        <v>22</v>
      </c>
      <c r="C45" s="70">
        <f t="shared" si="3"/>
        <v>244</v>
      </c>
      <c r="D45" s="71">
        <f t="shared" si="3"/>
        <v>240</v>
      </c>
      <c r="E45" s="70">
        <f t="shared" si="4"/>
        <v>484</v>
      </c>
      <c r="F45" s="221"/>
      <c r="G45" s="128" t="s">
        <v>57</v>
      </c>
      <c r="H45" s="70">
        <f t="shared" si="6"/>
        <v>112</v>
      </c>
      <c r="I45" s="142"/>
      <c r="J45" s="142"/>
      <c r="K45" s="104" t="s">
        <v>62</v>
      </c>
    </row>
    <row r="46" spans="2:12" x14ac:dyDescent="0.25">
      <c r="B46" s="91" t="s">
        <v>23</v>
      </c>
      <c r="C46" s="70">
        <f t="shared" si="3"/>
        <v>208</v>
      </c>
      <c r="D46" s="71">
        <f t="shared" si="3"/>
        <v>228</v>
      </c>
      <c r="E46" s="70">
        <f t="shared" si="4"/>
        <v>436</v>
      </c>
      <c r="F46" s="221"/>
      <c r="G46" s="128" t="s">
        <v>168</v>
      </c>
      <c r="H46" s="70">
        <f t="shared" si="6"/>
        <v>100</v>
      </c>
      <c r="I46" s="142"/>
      <c r="J46" s="142"/>
    </row>
    <row r="47" spans="2:12" x14ac:dyDescent="0.25">
      <c r="B47" s="91" t="s">
        <v>24</v>
      </c>
      <c r="C47" s="70">
        <f t="shared" si="3"/>
        <v>164</v>
      </c>
      <c r="D47" s="71">
        <f t="shared" si="3"/>
        <v>167</v>
      </c>
      <c r="E47" s="70">
        <f t="shared" si="4"/>
        <v>331</v>
      </c>
      <c r="F47" s="221"/>
      <c r="G47" s="128" t="s">
        <v>170</v>
      </c>
      <c r="H47" s="70">
        <f t="shared" si="6"/>
        <v>129</v>
      </c>
      <c r="I47" s="142"/>
      <c r="J47" s="142"/>
    </row>
    <row r="48" spans="2:12" x14ac:dyDescent="0.25">
      <c r="B48" s="91" t="s">
        <v>25</v>
      </c>
      <c r="C48" s="70">
        <f t="shared" si="3"/>
        <v>139</v>
      </c>
      <c r="D48" s="71">
        <f t="shared" si="3"/>
        <v>144</v>
      </c>
      <c r="E48" s="70">
        <f t="shared" si="4"/>
        <v>283</v>
      </c>
      <c r="F48" s="221"/>
      <c r="G48" s="128" t="s">
        <v>171</v>
      </c>
      <c r="H48" s="70">
        <f t="shared" si="6"/>
        <v>130</v>
      </c>
      <c r="I48" s="142"/>
      <c r="J48" s="142"/>
      <c r="K48" s="157"/>
      <c r="L48" s="157"/>
    </row>
    <row r="49" spans="2:16" x14ac:dyDescent="0.25">
      <c r="B49" s="91" t="s">
        <v>26</v>
      </c>
      <c r="C49" s="70">
        <f t="shared" si="3"/>
        <v>154</v>
      </c>
      <c r="D49" s="71">
        <f t="shared" si="3"/>
        <v>160</v>
      </c>
      <c r="E49" s="70">
        <f t="shared" si="4"/>
        <v>314</v>
      </c>
      <c r="F49" s="221"/>
      <c r="G49" s="128" t="s">
        <v>58</v>
      </c>
      <c r="H49" s="70">
        <f t="shared" si="6"/>
        <v>122</v>
      </c>
      <c r="I49" s="142"/>
      <c r="J49" s="142"/>
      <c r="K49" s="98"/>
      <c r="L49" s="98"/>
    </row>
    <row r="50" spans="2:16" ht="15.75" thickBot="1" x14ac:dyDescent="0.3">
      <c r="B50" s="91" t="s">
        <v>98</v>
      </c>
      <c r="C50" s="70">
        <f t="shared" si="3"/>
        <v>0</v>
      </c>
      <c r="D50" s="71">
        <f t="shared" si="3"/>
        <v>0</v>
      </c>
      <c r="E50" s="70">
        <f t="shared" si="4"/>
        <v>0</v>
      </c>
      <c r="F50" s="221"/>
      <c r="G50" s="259" t="s">
        <v>63</v>
      </c>
      <c r="H50" s="51">
        <f>ROUND(H26*84%,0)</f>
        <v>107</v>
      </c>
      <c r="I50" s="139"/>
      <c r="J50" s="142"/>
      <c r="K50" s="98"/>
      <c r="L50" s="98"/>
    </row>
    <row r="51" spans="2:16" ht="15.75" thickBot="1" x14ac:dyDescent="0.3">
      <c r="B51" s="92" t="s">
        <v>14</v>
      </c>
      <c r="C51" s="93">
        <f>SUM(C33:C50)</f>
        <v>4343</v>
      </c>
      <c r="D51" s="93">
        <f>SUM(D33:D50)</f>
        <v>4294</v>
      </c>
      <c r="E51" s="93">
        <f>SUM(E33:E50)</f>
        <v>8637</v>
      </c>
      <c r="F51" s="154">
        <v>0.84</v>
      </c>
      <c r="K51" s="98"/>
      <c r="L51" s="98"/>
    </row>
    <row r="52" spans="2:16" x14ac:dyDescent="0.25">
      <c r="I52" s="105"/>
      <c r="J52" s="105"/>
      <c r="K52" s="87"/>
      <c r="L52" s="98"/>
      <c r="M52" s="98"/>
      <c r="N52" s="98"/>
      <c r="O52" s="98"/>
      <c r="P52" s="98"/>
    </row>
    <row r="53" spans="2:16" x14ac:dyDescent="0.25">
      <c r="G53" s="222"/>
      <c r="H53" s="105"/>
      <c r="I53" s="105"/>
      <c r="J53" s="105"/>
      <c r="K53" s="87"/>
      <c r="L53" s="98"/>
      <c r="M53" s="98"/>
      <c r="N53" s="98"/>
      <c r="O53" s="98"/>
      <c r="P53" s="98"/>
    </row>
    <row r="54" spans="2:16" ht="15.75" thickBot="1" x14ac:dyDescent="0.3">
      <c r="G54" s="222"/>
      <c r="H54" s="105"/>
      <c r="I54" s="105"/>
      <c r="J54" s="105"/>
      <c r="K54" s="87"/>
      <c r="L54" s="98"/>
      <c r="M54" s="98"/>
      <c r="N54" s="98"/>
      <c r="O54" s="98"/>
      <c r="P54" s="98"/>
    </row>
    <row r="55" spans="2:16" ht="30.75" customHeight="1" thickBot="1" x14ac:dyDescent="0.3">
      <c r="B55" s="294" t="s">
        <v>45</v>
      </c>
      <c r="C55" s="296" t="s">
        <v>69</v>
      </c>
      <c r="D55" s="300"/>
      <c r="E55" s="301"/>
      <c r="G55" s="294" t="s">
        <v>45</v>
      </c>
      <c r="H55" s="296" t="s">
        <v>69</v>
      </c>
      <c r="I55" s="300"/>
      <c r="J55" s="301"/>
      <c r="K55" s="87"/>
      <c r="L55" s="98"/>
      <c r="M55" s="98"/>
      <c r="N55" s="98"/>
      <c r="O55" s="98"/>
      <c r="P55" s="98"/>
    </row>
    <row r="56" spans="2:16" ht="15.75" thickBot="1" x14ac:dyDescent="0.3">
      <c r="B56" s="295"/>
      <c r="C56" s="95" t="s">
        <v>2</v>
      </c>
      <c r="D56" s="96" t="s">
        <v>35</v>
      </c>
      <c r="E56" s="97" t="s">
        <v>34</v>
      </c>
      <c r="G56" s="295"/>
      <c r="H56" s="95" t="s">
        <v>2</v>
      </c>
      <c r="I56" s="96" t="s">
        <v>3</v>
      </c>
      <c r="J56" s="97" t="s">
        <v>4</v>
      </c>
      <c r="K56" s="87"/>
      <c r="L56" s="98"/>
      <c r="M56" s="98"/>
      <c r="N56" s="98"/>
      <c r="O56" s="98"/>
      <c r="P56" s="98"/>
    </row>
    <row r="57" spans="2:16" x14ac:dyDescent="0.25">
      <c r="B57" s="91" t="s">
        <v>5</v>
      </c>
      <c r="C57" s="69">
        <f t="shared" ref="C57:D74" si="7">ROUND(C9*16%,0)</f>
        <v>36</v>
      </c>
      <c r="D57" s="76">
        <f t="shared" si="7"/>
        <v>32</v>
      </c>
      <c r="E57" s="69">
        <f>+D57+C57</f>
        <v>68</v>
      </c>
      <c r="F57" s="208"/>
      <c r="G57" s="102" t="s">
        <v>6</v>
      </c>
      <c r="H57" s="57">
        <f>SUM(C57:C58)</f>
        <v>94</v>
      </c>
      <c r="I57" s="69">
        <f>SUM(D57:D58)</f>
        <v>84</v>
      </c>
      <c r="J57" s="69">
        <f>SUM(H57:I57)</f>
        <v>178</v>
      </c>
      <c r="K57" s="87"/>
      <c r="L57" s="98"/>
      <c r="M57" s="98"/>
      <c r="N57" s="98"/>
      <c r="O57" s="98"/>
      <c r="P57" s="98"/>
    </row>
    <row r="58" spans="2:16" x14ac:dyDescent="0.25">
      <c r="B58" s="125" t="s">
        <v>7</v>
      </c>
      <c r="C58" s="70">
        <f t="shared" si="7"/>
        <v>58</v>
      </c>
      <c r="D58" s="71">
        <f t="shared" si="7"/>
        <v>52</v>
      </c>
      <c r="E58" s="70">
        <f>+D58+C58</f>
        <v>110</v>
      </c>
      <c r="F58" s="208"/>
      <c r="G58" s="103" t="s">
        <v>8</v>
      </c>
      <c r="H58" s="57">
        <f>SUM(C59:C60)</f>
        <v>114</v>
      </c>
      <c r="I58" s="70">
        <f>SUM(D59:D60)</f>
        <v>112</v>
      </c>
      <c r="J58" s="70">
        <f>SUM(H58:I58)</f>
        <v>226</v>
      </c>
      <c r="K58" s="87"/>
      <c r="L58" s="98"/>
      <c r="M58" s="98"/>
      <c r="N58" s="98"/>
      <c r="O58" s="98"/>
      <c r="P58" s="98"/>
    </row>
    <row r="59" spans="2:16" x14ac:dyDescent="0.25">
      <c r="B59" s="91" t="s">
        <v>59</v>
      </c>
      <c r="C59" s="70">
        <f t="shared" si="7"/>
        <v>52</v>
      </c>
      <c r="D59" s="71">
        <f t="shared" si="7"/>
        <v>49</v>
      </c>
      <c r="E59" s="70">
        <f t="shared" ref="E59:E73" si="8">+D59+C59</f>
        <v>101</v>
      </c>
      <c r="F59" s="208"/>
      <c r="G59" s="103" t="s">
        <v>10</v>
      </c>
      <c r="H59" s="57">
        <f>SUM(C61:C69)</f>
        <v>493</v>
      </c>
      <c r="I59" s="70">
        <f>SUM(D61:D69)</f>
        <v>490</v>
      </c>
      <c r="J59" s="70">
        <f>SUM(H59:I59)</f>
        <v>983</v>
      </c>
      <c r="K59" s="87"/>
      <c r="L59" s="98"/>
      <c r="M59" s="98"/>
      <c r="N59" s="98"/>
      <c r="O59" s="98"/>
      <c r="P59" s="98"/>
    </row>
    <row r="60" spans="2:16" ht="15.75" thickBot="1" x14ac:dyDescent="0.3">
      <c r="B60" s="91" t="s">
        <v>11</v>
      </c>
      <c r="C60" s="70">
        <f t="shared" si="7"/>
        <v>62</v>
      </c>
      <c r="D60" s="71">
        <f t="shared" si="7"/>
        <v>63</v>
      </c>
      <c r="E60" s="70">
        <f t="shared" si="8"/>
        <v>125</v>
      </c>
      <c r="F60" s="208"/>
      <c r="G60" s="103" t="s">
        <v>12</v>
      </c>
      <c r="H60" s="57">
        <f>SUM(C70:C73)</f>
        <v>127</v>
      </c>
      <c r="I60" s="70">
        <f>SUM(D70:D73)</f>
        <v>133</v>
      </c>
      <c r="J60" s="70">
        <f>SUM(H60:I60)</f>
        <v>260</v>
      </c>
      <c r="K60" s="87"/>
      <c r="L60" s="98"/>
      <c r="M60" s="98"/>
      <c r="N60" s="98"/>
      <c r="O60" s="98"/>
      <c r="P60" s="98"/>
    </row>
    <row r="61" spans="2:16" ht="15.75" thickBot="1" x14ac:dyDescent="0.3">
      <c r="B61" s="91" t="s">
        <v>13</v>
      </c>
      <c r="C61" s="70">
        <f t="shared" si="7"/>
        <v>61</v>
      </c>
      <c r="D61" s="71">
        <f t="shared" si="7"/>
        <v>61</v>
      </c>
      <c r="E61" s="70">
        <f t="shared" si="8"/>
        <v>122</v>
      </c>
      <c r="F61" s="208"/>
      <c r="G61" s="92" t="s">
        <v>14</v>
      </c>
      <c r="H61" s="258">
        <f>SUM(H57:H60)</f>
        <v>828</v>
      </c>
      <c r="I61" s="258">
        <f t="shared" ref="I61" si="9">SUM(I57:I60)</f>
        <v>819</v>
      </c>
      <c r="J61" s="93">
        <f t="shared" ref="J61" si="10">SUM(J57:J60)</f>
        <v>1647</v>
      </c>
      <c r="K61" s="87"/>
      <c r="L61" s="98"/>
      <c r="M61" s="98"/>
      <c r="N61" s="98"/>
      <c r="O61" s="98"/>
      <c r="P61" s="98"/>
    </row>
    <row r="62" spans="2:16" ht="15.75" thickBot="1" x14ac:dyDescent="0.3">
      <c r="B62" s="91" t="s">
        <v>15</v>
      </c>
      <c r="C62" s="70">
        <f t="shared" si="7"/>
        <v>63</v>
      </c>
      <c r="D62" s="71">
        <f t="shared" si="7"/>
        <v>59</v>
      </c>
      <c r="E62" s="70">
        <f t="shared" si="8"/>
        <v>122</v>
      </c>
      <c r="F62" s="208"/>
      <c r="G62" s="142"/>
      <c r="H62" s="142"/>
      <c r="I62" s="142"/>
      <c r="J62" s="142"/>
      <c r="K62" s="87"/>
      <c r="L62" s="98"/>
      <c r="M62" s="98"/>
      <c r="N62" s="98"/>
      <c r="O62" s="98"/>
      <c r="P62" s="98"/>
    </row>
    <row r="63" spans="2:16" x14ac:dyDescent="0.25">
      <c r="B63" s="91" t="s">
        <v>16</v>
      </c>
      <c r="C63" s="70">
        <f t="shared" si="7"/>
        <v>50</v>
      </c>
      <c r="D63" s="71">
        <f t="shared" si="7"/>
        <v>50</v>
      </c>
      <c r="E63" s="70">
        <f t="shared" si="8"/>
        <v>100</v>
      </c>
      <c r="F63" s="208"/>
      <c r="G63" s="127" t="s">
        <v>150</v>
      </c>
      <c r="H63" s="69">
        <f>ROUND(H15*16%,0)</f>
        <v>14</v>
      </c>
      <c r="I63" s="260" t="s">
        <v>60</v>
      </c>
      <c r="J63" s="69">
        <f>SUM(C61:C65)</f>
        <v>269</v>
      </c>
      <c r="K63" s="87"/>
      <c r="N63" s="98"/>
      <c r="O63" s="98"/>
      <c r="P63" s="98"/>
    </row>
    <row r="64" spans="2:16" ht="15.75" thickBot="1" x14ac:dyDescent="0.3">
      <c r="B64" s="91" t="s">
        <v>17</v>
      </c>
      <c r="C64" s="70">
        <f t="shared" si="7"/>
        <v>49</v>
      </c>
      <c r="D64" s="71">
        <f t="shared" si="7"/>
        <v>52</v>
      </c>
      <c r="E64" s="70">
        <f t="shared" si="8"/>
        <v>101</v>
      </c>
      <c r="F64" s="208"/>
      <c r="G64" s="128" t="s">
        <v>151</v>
      </c>
      <c r="H64" s="70">
        <f t="shared" ref="H64:H73" si="11">ROUND(H16*16%,0)</f>
        <v>7</v>
      </c>
      <c r="I64" s="261" t="s">
        <v>61</v>
      </c>
      <c r="J64" s="51">
        <f>SUM(D66:D69)</f>
        <v>214</v>
      </c>
      <c r="K64" s="87"/>
      <c r="N64" s="98"/>
      <c r="O64" s="98"/>
      <c r="P64" s="98"/>
    </row>
    <row r="65" spans="2:16" ht="15.75" thickBot="1" x14ac:dyDescent="0.3">
      <c r="B65" s="91" t="s">
        <v>18</v>
      </c>
      <c r="C65" s="70">
        <f t="shared" si="7"/>
        <v>46</v>
      </c>
      <c r="D65" s="71">
        <f t="shared" si="7"/>
        <v>54</v>
      </c>
      <c r="E65" s="70">
        <f t="shared" si="8"/>
        <v>100</v>
      </c>
      <c r="F65" s="208"/>
      <c r="G65" s="128" t="s">
        <v>152</v>
      </c>
      <c r="H65" s="70">
        <f t="shared" si="11"/>
        <v>9</v>
      </c>
      <c r="I65" s="104"/>
      <c r="J65" s="94"/>
      <c r="K65" s="87"/>
      <c r="L65" s="98"/>
      <c r="M65" s="98"/>
      <c r="N65" s="98"/>
      <c r="O65" s="98"/>
      <c r="P65" s="98"/>
    </row>
    <row r="66" spans="2:16" x14ac:dyDescent="0.25">
      <c r="B66" s="91" t="s">
        <v>19</v>
      </c>
      <c r="C66" s="70">
        <f t="shared" si="7"/>
        <v>53</v>
      </c>
      <c r="D66" s="71">
        <f t="shared" si="7"/>
        <v>55</v>
      </c>
      <c r="E66" s="70">
        <f t="shared" si="8"/>
        <v>108</v>
      </c>
      <c r="F66" s="208"/>
      <c r="G66" s="128" t="s">
        <v>89</v>
      </c>
      <c r="H66" s="70">
        <f t="shared" si="11"/>
        <v>17</v>
      </c>
      <c r="I66" s="127" t="s">
        <v>153</v>
      </c>
      <c r="J66" s="198">
        <f>+H70+H71+H72+E59+E60</f>
        <v>295</v>
      </c>
      <c r="K66" s="87"/>
      <c r="L66" s="98"/>
      <c r="M66" s="98"/>
      <c r="N66" s="98"/>
      <c r="O66" s="98"/>
      <c r="P66" s="98"/>
    </row>
    <row r="67" spans="2:16" ht="15.75" thickBot="1" x14ac:dyDescent="0.3">
      <c r="B67" s="91" t="s">
        <v>20</v>
      </c>
      <c r="C67" s="70">
        <f t="shared" si="7"/>
        <v>63</v>
      </c>
      <c r="D67" s="71">
        <f t="shared" si="7"/>
        <v>60</v>
      </c>
      <c r="E67" s="70">
        <f t="shared" si="8"/>
        <v>123</v>
      </c>
      <c r="F67" s="208"/>
      <c r="G67" s="128" t="s">
        <v>90</v>
      </c>
      <c r="H67" s="70">
        <f t="shared" si="11"/>
        <v>20</v>
      </c>
      <c r="I67" s="259" t="s">
        <v>64</v>
      </c>
      <c r="J67" s="199">
        <f>SUM(E57:E60)</f>
        <v>404</v>
      </c>
      <c r="K67" s="87"/>
      <c r="L67" s="98"/>
      <c r="M67" s="98"/>
      <c r="N67" s="98"/>
      <c r="O67" s="98"/>
      <c r="P67" s="98"/>
    </row>
    <row r="68" spans="2:16" x14ac:dyDescent="0.25">
      <c r="B68" s="91" t="s">
        <v>21</v>
      </c>
      <c r="C68" s="70">
        <f t="shared" si="7"/>
        <v>61</v>
      </c>
      <c r="D68" s="71">
        <f t="shared" si="7"/>
        <v>53</v>
      </c>
      <c r="E68" s="70">
        <f t="shared" si="8"/>
        <v>114</v>
      </c>
      <c r="F68" s="208"/>
      <c r="G68" s="128" t="s">
        <v>169</v>
      </c>
      <c r="H68" s="70">
        <f t="shared" si="11"/>
        <v>20</v>
      </c>
      <c r="I68" s="142"/>
      <c r="J68" s="142"/>
      <c r="K68" s="87"/>
      <c r="L68" s="98"/>
      <c r="M68" s="98"/>
      <c r="N68" s="98"/>
      <c r="O68" s="98"/>
      <c r="P68" s="98"/>
    </row>
    <row r="69" spans="2:16" x14ac:dyDescent="0.25">
      <c r="B69" s="91" t="s">
        <v>22</v>
      </c>
      <c r="C69" s="70">
        <f t="shared" si="7"/>
        <v>47</v>
      </c>
      <c r="D69" s="71">
        <f t="shared" si="7"/>
        <v>46</v>
      </c>
      <c r="E69" s="70">
        <f t="shared" si="8"/>
        <v>93</v>
      </c>
      <c r="F69" s="208"/>
      <c r="G69" s="128" t="s">
        <v>57</v>
      </c>
      <c r="H69" s="70">
        <f t="shared" si="11"/>
        <v>21</v>
      </c>
      <c r="I69" s="142"/>
      <c r="J69" s="142"/>
      <c r="K69" s="87"/>
      <c r="L69" s="177"/>
      <c r="M69" s="98"/>
      <c r="N69" s="98"/>
      <c r="O69" s="98"/>
      <c r="P69" s="98"/>
    </row>
    <row r="70" spans="2:16" x14ac:dyDescent="0.25">
      <c r="B70" s="91" t="s">
        <v>23</v>
      </c>
      <c r="C70" s="70">
        <f t="shared" si="7"/>
        <v>40</v>
      </c>
      <c r="D70" s="71">
        <f t="shared" si="7"/>
        <v>43</v>
      </c>
      <c r="E70" s="70">
        <f t="shared" si="8"/>
        <v>83</v>
      </c>
      <c r="F70" s="208"/>
      <c r="G70" s="128" t="s">
        <v>168</v>
      </c>
      <c r="H70" s="70">
        <f t="shared" si="11"/>
        <v>19</v>
      </c>
      <c r="I70" s="142"/>
      <c r="J70" s="142"/>
      <c r="K70" s="87"/>
      <c r="L70" s="98"/>
      <c r="M70" s="98"/>
      <c r="N70" s="98"/>
      <c r="O70" s="98"/>
      <c r="P70" s="98"/>
    </row>
    <row r="71" spans="2:16" x14ac:dyDescent="0.25">
      <c r="B71" s="91" t="s">
        <v>24</v>
      </c>
      <c r="C71" s="70">
        <f t="shared" si="7"/>
        <v>31</v>
      </c>
      <c r="D71" s="71">
        <f t="shared" si="7"/>
        <v>32</v>
      </c>
      <c r="E71" s="70">
        <f t="shared" si="8"/>
        <v>63</v>
      </c>
      <c r="F71" s="208"/>
      <c r="G71" s="128" t="s">
        <v>170</v>
      </c>
      <c r="H71" s="70">
        <f t="shared" si="11"/>
        <v>25</v>
      </c>
      <c r="I71" s="142"/>
      <c r="J71" s="142"/>
      <c r="K71" s="87"/>
      <c r="L71" s="98"/>
      <c r="M71" s="98"/>
      <c r="N71" s="98"/>
      <c r="O71" s="98"/>
      <c r="P71" s="98"/>
    </row>
    <row r="72" spans="2:16" x14ac:dyDescent="0.25">
      <c r="B72" s="91" t="s">
        <v>25</v>
      </c>
      <c r="C72" s="70">
        <f t="shared" si="7"/>
        <v>27</v>
      </c>
      <c r="D72" s="71">
        <f t="shared" si="7"/>
        <v>28</v>
      </c>
      <c r="E72" s="70">
        <f t="shared" si="8"/>
        <v>55</v>
      </c>
      <c r="F72" s="208"/>
      <c r="G72" s="128" t="s">
        <v>171</v>
      </c>
      <c r="H72" s="70">
        <f t="shared" si="11"/>
        <v>25</v>
      </c>
      <c r="I72" s="142"/>
      <c r="J72" s="142"/>
      <c r="K72" s="87"/>
      <c r="L72" s="98"/>
      <c r="M72" s="98"/>
      <c r="N72" s="98"/>
      <c r="O72" s="98"/>
      <c r="P72" s="98"/>
    </row>
    <row r="73" spans="2:16" x14ac:dyDescent="0.25">
      <c r="B73" s="91" t="s">
        <v>26</v>
      </c>
      <c r="C73" s="70">
        <f t="shared" si="7"/>
        <v>29</v>
      </c>
      <c r="D73" s="71">
        <f t="shared" si="7"/>
        <v>30</v>
      </c>
      <c r="E73" s="70">
        <f t="shared" si="8"/>
        <v>59</v>
      </c>
      <c r="F73" s="208"/>
      <c r="G73" s="128" t="s">
        <v>58</v>
      </c>
      <c r="H73" s="70">
        <f t="shared" si="11"/>
        <v>23</v>
      </c>
      <c r="I73" s="142"/>
      <c r="J73" s="142"/>
      <c r="K73" s="87"/>
      <c r="L73" s="98"/>
      <c r="M73" s="98"/>
      <c r="N73" s="98"/>
      <c r="O73" s="98"/>
      <c r="P73" s="98"/>
    </row>
    <row r="74" spans="2:16" ht="15.75" thickBot="1" x14ac:dyDescent="0.3">
      <c r="B74" s="91" t="s">
        <v>98</v>
      </c>
      <c r="C74" s="70">
        <f t="shared" si="7"/>
        <v>0</v>
      </c>
      <c r="D74" s="71">
        <f t="shared" si="7"/>
        <v>0</v>
      </c>
      <c r="E74" s="70">
        <f>+D74+C74</f>
        <v>0</v>
      </c>
      <c r="F74" s="208"/>
      <c r="G74" s="259" t="s">
        <v>63</v>
      </c>
      <c r="H74" s="51">
        <f>ROUND(H26*16%,0)</f>
        <v>20</v>
      </c>
      <c r="I74" s="139"/>
      <c r="J74" s="142"/>
      <c r="K74" s="87"/>
      <c r="L74" s="98"/>
      <c r="M74" s="98"/>
      <c r="N74" s="98"/>
      <c r="O74" s="98"/>
      <c r="P74" s="98"/>
    </row>
    <row r="75" spans="2:16" ht="15.75" thickBot="1" x14ac:dyDescent="0.3">
      <c r="B75" s="92" t="s">
        <v>14</v>
      </c>
      <c r="C75" s="93">
        <f>SUM(C57:C74)</f>
        <v>828</v>
      </c>
      <c r="D75" s="93">
        <f>SUM(D57:D74)</f>
        <v>819</v>
      </c>
      <c r="E75" s="93">
        <f>SUM(E57:E74)</f>
        <v>1647</v>
      </c>
      <c r="F75" s="223">
        <v>0.16</v>
      </c>
      <c r="G75" s="105"/>
      <c r="H75" s="105"/>
      <c r="I75" s="105"/>
      <c r="J75" s="105"/>
      <c r="K75" s="87"/>
      <c r="L75" s="98"/>
      <c r="M75" s="98"/>
      <c r="N75" s="98"/>
      <c r="O75" s="98"/>
      <c r="P75" s="98"/>
    </row>
    <row r="76" spans="2:16" x14ac:dyDescent="0.25">
      <c r="I76" s="105"/>
      <c r="J76" s="105"/>
      <c r="K76" s="87"/>
      <c r="L76" s="98"/>
      <c r="M76" s="98"/>
      <c r="N76" s="98"/>
      <c r="O76" s="98"/>
      <c r="P76" s="98"/>
    </row>
    <row r="97" spans="2:12" x14ac:dyDescent="0.25">
      <c r="B97" s="98"/>
      <c r="G97" s="209"/>
      <c r="K97" s="98"/>
      <c r="L97" s="98"/>
    </row>
    <row r="98" spans="2:12" x14ac:dyDescent="0.25">
      <c r="B98" s="98"/>
      <c r="K98" s="98"/>
      <c r="L98" s="98"/>
    </row>
    <row r="99" spans="2:12" x14ac:dyDescent="0.25">
      <c r="B99" s="98"/>
      <c r="K99" s="98"/>
      <c r="L99" s="98"/>
    </row>
    <row r="100" spans="2:12" x14ac:dyDescent="0.25">
      <c r="B100" s="98"/>
      <c r="K100" s="157"/>
      <c r="L100" s="157"/>
    </row>
    <row r="101" spans="2:12" x14ac:dyDescent="0.25">
      <c r="B101" s="98"/>
      <c r="K101" s="98"/>
      <c r="L101" s="98"/>
    </row>
    <row r="102" spans="2:12" x14ac:dyDescent="0.25">
      <c r="B102" s="98"/>
      <c r="K102" s="98"/>
      <c r="L102" s="98"/>
    </row>
    <row r="103" spans="2:12" x14ac:dyDescent="0.25">
      <c r="B103" s="98"/>
      <c r="K103" s="98"/>
      <c r="L103" s="98"/>
    </row>
    <row r="104" spans="2:12" x14ac:dyDescent="0.25">
      <c r="B104" s="98"/>
      <c r="K104" s="98"/>
      <c r="L104" s="98"/>
    </row>
    <row r="105" spans="2:12" x14ac:dyDescent="0.25">
      <c r="B105" s="98"/>
      <c r="K105" s="98"/>
      <c r="L105" s="98"/>
    </row>
    <row r="106" spans="2:12" x14ac:dyDescent="0.25">
      <c r="B106" s="98"/>
      <c r="K106" s="98"/>
      <c r="L106" s="98"/>
    </row>
    <row r="107" spans="2:12" x14ac:dyDescent="0.25">
      <c r="B107" s="98"/>
      <c r="K107" s="157"/>
      <c r="L107" s="157"/>
    </row>
    <row r="108" spans="2:12" x14ac:dyDescent="0.25">
      <c r="B108" s="98"/>
      <c r="K108" s="157"/>
      <c r="L108" s="157"/>
    </row>
    <row r="109" spans="2:12" x14ac:dyDescent="0.25">
      <c r="B109" s="98"/>
      <c r="K109" s="157"/>
      <c r="L109" s="157"/>
    </row>
    <row r="110" spans="2:12" x14ac:dyDescent="0.25">
      <c r="B110" s="98"/>
      <c r="K110" s="157"/>
      <c r="L110" s="157"/>
    </row>
    <row r="111" spans="2:12" x14ac:dyDescent="0.25">
      <c r="B111" s="98"/>
      <c r="K111" s="157"/>
      <c r="L111" s="157"/>
    </row>
    <row r="112" spans="2:12" x14ac:dyDescent="0.25">
      <c r="B112" s="98"/>
      <c r="K112" s="157"/>
      <c r="L112" s="157"/>
    </row>
    <row r="113" spans="2:12" x14ac:dyDescent="0.25">
      <c r="B113" s="98"/>
      <c r="K113" s="157"/>
      <c r="L113" s="157"/>
    </row>
    <row r="114" spans="2:12" x14ac:dyDescent="0.25">
      <c r="B114" s="98"/>
      <c r="K114" s="157"/>
      <c r="L114" s="157"/>
    </row>
    <row r="115" spans="2:12" x14ac:dyDescent="0.25">
      <c r="B115" s="98"/>
      <c r="K115" s="157"/>
      <c r="L115" s="157"/>
    </row>
    <row r="116" spans="2:12" x14ac:dyDescent="0.25">
      <c r="B116" s="98"/>
      <c r="K116" s="157"/>
      <c r="L116" s="157"/>
    </row>
    <row r="117" spans="2:12" x14ac:dyDescent="0.25">
      <c r="B117" s="98"/>
      <c r="K117" s="157"/>
      <c r="L117" s="157"/>
    </row>
    <row r="118" spans="2:12" x14ac:dyDescent="0.25">
      <c r="B118" s="98"/>
      <c r="K118" s="157"/>
      <c r="L118" s="157"/>
    </row>
    <row r="119" spans="2:12" x14ac:dyDescent="0.25">
      <c r="B119" s="98"/>
      <c r="K119" s="157"/>
      <c r="L119" s="157"/>
    </row>
    <row r="120" spans="2:12" x14ac:dyDescent="0.25">
      <c r="B120" s="98"/>
      <c r="C120" s="98"/>
      <c r="D120" s="98"/>
      <c r="E120" s="98"/>
      <c r="F120" s="98"/>
      <c r="G120" s="224"/>
      <c r="H120" s="224"/>
      <c r="I120" s="224"/>
      <c r="J120" s="98"/>
      <c r="K120" s="157"/>
      <c r="L120" s="157"/>
    </row>
    <row r="121" spans="2:12" x14ac:dyDescent="0.25">
      <c r="B121" s="98"/>
      <c r="C121" s="98"/>
      <c r="D121" s="98"/>
      <c r="E121" s="98"/>
      <c r="F121" s="98"/>
      <c r="G121" s="224"/>
      <c r="H121" s="224"/>
      <c r="I121" s="224"/>
      <c r="J121" s="98"/>
      <c r="K121" s="157"/>
      <c r="L121" s="157"/>
    </row>
    <row r="122" spans="2:12" x14ac:dyDescent="0.25">
      <c r="B122" s="98"/>
      <c r="C122" s="98"/>
      <c r="D122" s="98"/>
      <c r="E122" s="98"/>
      <c r="F122" s="98"/>
      <c r="G122" s="224"/>
      <c r="H122" s="224"/>
      <c r="I122" s="224"/>
      <c r="J122" s="98"/>
      <c r="K122" s="98"/>
      <c r="L122" s="98"/>
    </row>
    <row r="123" spans="2:12" x14ac:dyDescent="0.25">
      <c r="B123" s="98"/>
      <c r="C123" s="98"/>
      <c r="D123" s="98"/>
      <c r="E123" s="98"/>
      <c r="F123" s="98"/>
      <c r="G123" s="225"/>
      <c r="H123" s="225"/>
      <c r="I123" s="225"/>
      <c r="J123" s="98"/>
      <c r="K123" s="98"/>
      <c r="L123" s="98"/>
    </row>
    <row r="124" spans="2:12" x14ac:dyDescent="0.25"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2:12" x14ac:dyDescent="0.25"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2:12" x14ac:dyDescent="0.25">
      <c r="B126" s="98"/>
      <c r="C126" s="211"/>
      <c r="D126" s="98"/>
      <c r="E126" s="98"/>
      <c r="F126" s="98"/>
      <c r="G126" s="98"/>
      <c r="H126" s="98"/>
      <c r="I126" s="98"/>
      <c r="J126" s="98"/>
    </row>
    <row r="127" spans="2:12" x14ac:dyDescent="0.25"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2:12" x14ac:dyDescent="0.25"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2:10" x14ac:dyDescent="0.25"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2:10" x14ac:dyDescent="0.25">
      <c r="B130" s="98"/>
      <c r="C130" s="98"/>
      <c r="D130" s="98"/>
      <c r="E130" s="98"/>
      <c r="F130" s="98"/>
      <c r="G130" s="211"/>
      <c r="H130" s="98"/>
      <c r="I130" s="98"/>
      <c r="J130" s="98"/>
    </row>
    <row r="131" spans="2:10" x14ac:dyDescent="0.25">
      <c r="B131" s="98"/>
      <c r="C131" s="98"/>
      <c r="D131" s="98"/>
      <c r="E131" s="98"/>
      <c r="F131" s="98"/>
      <c r="G131" s="210"/>
      <c r="H131" s="157"/>
      <c r="I131" s="157"/>
      <c r="J131" s="157"/>
    </row>
    <row r="132" spans="2:10" x14ac:dyDescent="0.25">
      <c r="B132" s="98"/>
      <c r="C132" s="98"/>
      <c r="D132" s="98"/>
      <c r="E132" s="98"/>
      <c r="F132" s="98"/>
      <c r="G132" s="210"/>
      <c r="H132" s="157"/>
      <c r="I132" s="157"/>
      <c r="J132" s="211"/>
    </row>
    <row r="133" spans="2:10" x14ac:dyDescent="0.25">
      <c r="B133" s="98"/>
      <c r="C133" s="98"/>
      <c r="D133" s="98"/>
      <c r="E133" s="98"/>
      <c r="F133" s="98"/>
      <c r="G133" s="210"/>
      <c r="H133" s="157"/>
      <c r="I133" s="157"/>
      <c r="J133" s="211"/>
    </row>
    <row r="134" spans="2:10" x14ac:dyDescent="0.25">
      <c r="B134" s="98"/>
      <c r="C134" s="98"/>
      <c r="D134" s="98"/>
      <c r="E134" s="98"/>
      <c r="F134" s="98"/>
      <c r="G134" s="210"/>
      <c r="H134" s="157"/>
      <c r="I134" s="157"/>
      <c r="J134" s="211"/>
    </row>
    <row r="135" spans="2:10" x14ac:dyDescent="0.25">
      <c r="B135" s="98"/>
      <c r="C135" s="98"/>
      <c r="D135" s="98"/>
      <c r="E135" s="179"/>
      <c r="F135" s="179"/>
      <c r="G135" s="210"/>
      <c r="H135" s="157"/>
      <c r="I135" s="157"/>
      <c r="J135" s="211"/>
    </row>
    <row r="136" spans="2:10" x14ac:dyDescent="0.25">
      <c r="B136" s="98"/>
      <c r="C136" s="98"/>
      <c r="D136" s="98"/>
      <c r="E136" s="98"/>
      <c r="F136" s="98"/>
      <c r="G136" s="210"/>
      <c r="H136" s="157"/>
      <c r="I136" s="157"/>
      <c r="J136" s="211"/>
    </row>
    <row r="137" spans="2:10" x14ac:dyDescent="0.25">
      <c r="B137" s="98"/>
      <c r="C137" s="98"/>
      <c r="D137" s="98"/>
      <c r="E137" s="98"/>
      <c r="F137" s="98"/>
      <c r="G137" s="210"/>
      <c r="H137" s="157"/>
      <c r="I137" s="157"/>
      <c r="J137" s="211"/>
    </row>
    <row r="138" spans="2:10" x14ac:dyDescent="0.25">
      <c r="B138" s="98"/>
      <c r="C138" s="98"/>
      <c r="D138" s="98"/>
      <c r="E138" s="98"/>
      <c r="F138" s="98"/>
      <c r="G138" s="210"/>
      <c r="H138" s="157"/>
      <c r="I138" s="157"/>
      <c r="J138" s="211"/>
    </row>
    <row r="139" spans="2:10" x14ac:dyDescent="0.25">
      <c r="B139" s="98"/>
      <c r="C139" s="98"/>
      <c r="D139" s="98"/>
      <c r="E139" s="98"/>
      <c r="F139" s="98"/>
      <c r="G139" s="210"/>
      <c r="H139" s="157"/>
      <c r="I139" s="157"/>
      <c r="J139" s="211"/>
    </row>
    <row r="140" spans="2:10" x14ac:dyDescent="0.25">
      <c r="B140" s="98"/>
      <c r="C140" s="98"/>
      <c r="D140" s="98"/>
      <c r="E140" s="98"/>
      <c r="F140" s="98"/>
      <c r="G140" s="210"/>
      <c r="H140" s="157"/>
      <c r="I140" s="157"/>
      <c r="J140" s="211"/>
    </row>
    <row r="141" spans="2:10" x14ac:dyDescent="0.25">
      <c r="B141" s="98"/>
      <c r="C141" s="98"/>
      <c r="D141" s="98"/>
      <c r="E141" s="179"/>
      <c r="F141" s="179"/>
      <c r="G141" s="210"/>
      <c r="H141" s="157"/>
      <c r="I141" s="157"/>
      <c r="J141" s="211"/>
    </row>
    <row r="142" spans="2:10" x14ac:dyDescent="0.25">
      <c r="B142" s="98"/>
      <c r="C142" s="98"/>
      <c r="D142" s="98"/>
      <c r="E142" s="98"/>
      <c r="F142" s="98"/>
      <c r="G142" s="210"/>
      <c r="H142" s="157"/>
      <c r="I142" s="157"/>
      <c r="J142" s="211"/>
    </row>
    <row r="143" spans="2:10" x14ac:dyDescent="0.25">
      <c r="B143" s="98"/>
      <c r="C143" s="98"/>
      <c r="D143" s="98"/>
      <c r="E143" s="98"/>
      <c r="F143" s="98"/>
      <c r="G143" s="210"/>
      <c r="H143" s="157"/>
      <c r="I143" s="157"/>
      <c r="J143" s="211"/>
    </row>
    <row r="144" spans="2:10" x14ac:dyDescent="0.25">
      <c r="B144" s="98"/>
      <c r="C144" s="98"/>
      <c r="D144" s="98"/>
      <c r="E144" s="98"/>
      <c r="F144" s="98"/>
      <c r="G144" s="210"/>
      <c r="H144" s="157"/>
      <c r="I144" s="157"/>
      <c r="J144" s="211"/>
    </row>
    <row r="145" spans="2:10" x14ac:dyDescent="0.25">
      <c r="B145" s="98"/>
      <c r="C145" s="98"/>
      <c r="D145" s="98"/>
      <c r="E145" s="98"/>
      <c r="F145" s="98"/>
      <c r="G145" s="210"/>
      <c r="H145" s="157"/>
      <c r="I145" s="157"/>
      <c r="J145" s="211"/>
    </row>
    <row r="146" spans="2:10" x14ac:dyDescent="0.25">
      <c r="B146" s="98"/>
      <c r="C146" s="98"/>
      <c r="D146" s="98"/>
      <c r="E146" s="98"/>
      <c r="F146" s="98"/>
      <c r="G146" s="210"/>
      <c r="H146" s="157"/>
      <c r="I146" s="157"/>
      <c r="J146" s="211"/>
    </row>
    <row r="147" spans="2:10" x14ac:dyDescent="0.25">
      <c r="B147" s="98"/>
      <c r="C147" s="98"/>
      <c r="D147" s="98"/>
      <c r="E147" s="179"/>
      <c r="F147" s="179"/>
      <c r="G147" s="210"/>
      <c r="H147" s="157"/>
      <c r="I147" s="157"/>
      <c r="J147" s="211"/>
    </row>
    <row r="148" spans="2:10" x14ac:dyDescent="0.25">
      <c r="B148" s="98"/>
      <c r="C148" s="98"/>
      <c r="D148" s="98"/>
      <c r="E148" s="98"/>
      <c r="F148" s="98"/>
      <c r="G148" s="210"/>
      <c r="H148" s="157"/>
      <c r="I148" s="157"/>
      <c r="J148" s="211"/>
    </row>
    <row r="149" spans="2:10" x14ac:dyDescent="0.25">
      <c r="B149" s="98"/>
      <c r="C149" s="98"/>
      <c r="D149" s="98"/>
      <c r="E149" s="98"/>
      <c r="F149" s="98"/>
      <c r="G149" s="210"/>
      <c r="H149" s="157"/>
      <c r="I149" s="157"/>
      <c r="J149" s="211"/>
    </row>
    <row r="150" spans="2:10" x14ac:dyDescent="0.25">
      <c r="B150" s="98"/>
      <c r="C150" s="98"/>
      <c r="D150" s="98"/>
      <c r="E150" s="98"/>
      <c r="F150" s="98"/>
      <c r="G150" s="210"/>
      <c r="H150" s="157"/>
      <c r="I150" s="157"/>
      <c r="J150" s="211"/>
    </row>
    <row r="151" spans="2:10" x14ac:dyDescent="0.25">
      <c r="B151" s="98"/>
      <c r="C151" s="98"/>
      <c r="D151" s="98"/>
      <c r="E151" s="98"/>
      <c r="F151" s="98"/>
      <c r="G151" s="210"/>
      <c r="H151" s="157"/>
      <c r="I151" s="157"/>
      <c r="J151" s="211"/>
    </row>
    <row r="152" spans="2:10" x14ac:dyDescent="0.25">
      <c r="B152" s="98"/>
      <c r="C152" s="98"/>
      <c r="D152" s="98"/>
      <c r="E152" s="98"/>
      <c r="F152" s="98"/>
      <c r="G152" s="210"/>
      <c r="H152" s="212"/>
      <c r="I152" s="212"/>
      <c r="J152" s="179"/>
    </row>
    <row r="153" spans="2:10" x14ac:dyDescent="0.25"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2:10" x14ac:dyDescent="0.25"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2:10" x14ac:dyDescent="0.25"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2:10" x14ac:dyDescent="0.25">
      <c r="B156" s="98"/>
      <c r="C156" s="98"/>
      <c r="D156" s="98"/>
      <c r="E156" s="98"/>
      <c r="F156" s="98"/>
      <c r="G156" s="98"/>
      <c r="H156" s="98"/>
      <c r="I156" s="98"/>
      <c r="J156" s="98"/>
    </row>
    <row r="157" spans="2:10" x14ac:dyDescent="0.25">
      <c r="B157" s="98"/>
      <c r="C157" s="98"/>
      <c r="D157" s="98"/>
      <c r="E157" s="98"/>
      <c r="F157" s="98"/>
      <c r="G157" s="98"/>
      <c r="H157" s="98"/>
      <c r="I157" s="98"/>
      <c r="J157" s="98"/>
    </row>
    <row r="158" spans="2:10" x14ac:dyDescent="0.25">
      <c r="B158" s="98"/>
      <c r="C158" s="98"/>
      <c r="D158" s="98"/>
      <c r="E158" s="98"/>
      <c r="F158" s="98"/>
      <c r="G158" s="98"/>
      <c r="H158" s="98"/>
      <c r="I158" s="98"/>
      <c r="J158" s="98"/>
    </row>
    <row r="159" spans="2:10" x14ac:dyDescent="0.25">
      <c r="B159" s="98"/>
      <c r="C159" s="98"/>
      <c r="D159" s="98"/>
      <c r="E159" s="98"/>
      <c r="F159" s="98"/>
      <c r="G159" s="98"/>
      <c r="H159" s="98"/>
      <c r="I159" s="98"/>
      <c r="J159" s="98"/>
    </row>
    <row r="160" spans="2:10" x14ac:dyDescent="0.25">
      <c r="B160" s="98"/>
      <c r="C160" s="98"/>
      <c r="D160" s="98"/>
      <c r="E160" s="98"/>
      <c r="F160" s="98"/>
      <c r="G160" s="98"/>
      <c r="H160" s="98"/>
      <c r="I160" s="98"/>
      <c r="J160" s="98"/>
    </row>
    <row r="161" spans="1:20" x14ac:dyDescent="0.25">
      <c r="B161" s="98"/>
      <c r="C161" s="98"/>
      <c r="D161" s="98"/>
      <c r="E161" s="98"/>
      <c r="F161" s="98"/>
      <c r="G161" s="98"/>
      <c r="H161" s="98"/>
      <c r="I161" s="98"/>
      <c r="J161" s="98"/>
    </row>
    <row r="162" spans="1:20" x14ac:dyDescent="0.25">
      <c r="B162" s="98"/>
      <c r="C162" s="98"/>
      <c r="D162" s="98"/>
      <c r="E162" s="98"/>
      <c r="F162" s="98"/>
      <c r="G162" s="98"/>
      <c r="H162" s="98"/>
      <c r="I162" s="98"/>
      <c r="J162" s="98"/>
    </row>
    <row r="163" spans="1:20" x14ac:dyDescent="0.25">
      <c r="B163" s="98"/>
      <c r="C163" s="98"/>
      <c r="D163" s="98"/>
      <c r="E163" s="98"/>
      <c r="F163" s="98"/>
      <c r="G163" s="98"/>
      <c r="H163" s="98"/>
      <c r="I163" s="98"/>
      <c r="J163" s="98"/>
    </row>
    <row r="164" spans="1:20" x14ac:dyDescent="0.2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</row>
    <row r="165" spans="1:20" x14ac:dyDescent="0.2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</row>
    <row r="166" spans="1:20" x14ac:dyDescent="0.25">
      <c r="A166" s="87"/>
      <c r="B166" s="226"/>
      <c r="C166" s="227"/>
      <c r="D166" s="227"/>
      <c r="E166" s="227"/>
      <c r="F166" s="22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</row>
    <row r="167" spans="1:20" x14ac:dyDescent="0.25">
      <c r="A167" s="87"/>
      <c r="B167" s="213"/>
      <c r="C167" s="105"/>
      <c r="D167" s="228"/>
      <c r="E167" s="87"/>
      <c r="F167" s="105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</row>
    <row r="168" spans="1:20" x14ac:dyDescent="0.25">
      <c r="A168" s="87"/>
      <c r="B168" s="213"/>
      <c r="C168" s="105"/>
      <c r="D168" s="213"/>
      <c r="E168" s="100"/>
      <c r="F168" s="105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</row>
    <row r="169" spans="1:20" x14ac:dyDescent="0.25">
      <c r="A169" s="87"/>
      <c r="B169" s="213"/>
      <c r="C169" s="105"/>
      <c r="D169" s="213"/>
      <c r="E169" s="87"/>
      <c r="F169" s="105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</row>
    <row r="170" spans="1:20" x14ac:dyDescent="0.25">
      <c r="A170" s="87"/>
      <c r="B170" s="229"/>
      <c r="C170" s="214"/>
      <c r="D170" s="230"/>
      <c r="E170" s="231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</row>
    <row r="171" spans="1:20" x14ac:dyDescent="0.25">
      <c r="A171" s="87"/>
      <c r="B171" s="232"/>
      <c r="C171" s="87"/>
      <c r="D171" s="230"/>
      <c r="E171" s="231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</row>
    <row r="172" spans="1:20" x14ac:dyDescent="0.25">
      <c r="A172" s="87"/>
      <c r="B172" s="229"/>
      <c r="C172" s="87"/>
      <c r="D172" s="230"/>
      <c r="E172" s="231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</row>
    <row r="173" spans="1:20" x14ac:dyDescent="0.25">
      <c r="A173" s="87"/>
      <c r="B173" s="229"/>
      <c r="C173" s="87"/>
      <c r="D173" s="230"/>
      <c r="E173" s="231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</row>
    <row r="174" spans="1:20" x14ac:dyDescent="0.25">
      <c r="A174" s="87"/>
      <c r="B174" s="229"/>
      <c r="C174" s="87"/>
      <c r="D174" s="230"/>
      <c r="E174" s="231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</row>
    <row r="175" spans="1:20" x14ac:dyDescent="0.25">
      <c r="A175" s="87"/>
      <c r="B175" s="229"/>
      <c r="C175" s="87"/>
      <c r="D175" s="230"/>
      <c r="E175" s="231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</row>
    <row r="176" spans="1:20" x14ac:dyDescent="0.25">
      <c r="A176" s="87"/>
      <c r="B176" s="229"/>
      <c r="C176" s="87"/>
      <c r="D176" s="230"/>
      <c r="E176" s="231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</row>
    <row r="177" spans="1:20" x14ac:dyDescent="0.25">
      <c r="A177" s="87"/>
      <c r="B177" s="229"/>
      <c r="C177" s="87"/>
      <c r="D177" s="230"/>
      <c r="E177" s="231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</row>
    <row r="178" spans="1:20" x14ac:dyDescent="0.25">
      <c r="A178" s="87"/>
      <c r="B178" s="229"/>
      <c r="C178" s="87"/>
      <c r="D178" s="230"/>
      <c r="E178" s="231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</row>
    <row r="179" spans="1:20" x14ac:dyDescent="0.25">
      <c r="A179" s="87"/>
      <c r="B179" s="229"/>
      <c r="C179" s="87"/>
      <c r="D179" s="230"/>
      <c r="E179" s="231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</row>
    <row r="180" spans="1:20" x14ac:dyDescent="0.25">
      <c r="A180" s="87"/>
      <c r="B180" s="229"/>
      <c r="C180" s="87"/>
      <c r="D180" s="230"/>
      <c r="E180" s="231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</row>
    <row r="181" spans="1:20" x14ac:dyDescent="0.25">
      <c r="A181" s="87"/>
      <c r="B181" s="229"/>
      <c r="C181" s="87"/>
      <c r="D181" s="230"/>
      <c r="E181" s="231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</row>
    <row r="182" spans="1:20" x14ac:dyDescent="0.25">
      <c r="A182" s="87"/>
      <c r="B182" s="229"/>
      <c r="C182" s="87"/>
      <c r="D182" s="230"/>
      <c r="E182" s="231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</row>
    <row r="183" spans="1:20" x14ac:dyDescent="0.25">
      <c r="A183" s="87"/>
      <c r="B183" s="229"/>
      <c r="C183" s="87"/>
      <c r="D183" s="230"/>
      <c r="E183" s="231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</row>
    <row r="184" spans="1:20" x14ac:dyDescent="0.25">
      <c r="A184" s="87"/>
      <c r="B184" s="229"/>
      <c r="C184" s="87"/>
      <c r="D184" s="230"/>
      <c r="E184" s="231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</row>
    <row r="185" spans="1:20" x14ac:dyDescent="0.25">
      <c r="A185" s="87"/>
      <c r="B185" s="229"/>
      <c r="C185" s="87"/>
      <c r="D185" s="230"/>
      <c r="E185" s="231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</row>
    <row r="186" spans="1:20" x14ac:dyDescent="0.25">
      <c r="A186" s="87"/>
      <c r="B186" s="229"/>
      <c r="C186" s="87"/>
      <c r="D186" s="230"/>
      <c r="E186" s="231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</row>
    <row r="187" spans="1:20" x14ac:dyDescent="0.25">
      <c r="A187" s="87"/>
      <c r="B187" s="229"/>
      <c r="C187" s="100"/>
      <c r="D187" s="233"/>
      <c r="E187" s="231"/>
      <c r="F187" s="100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</row>
    <row r="188" spans="1:20" x14ac:dyDescent="0.2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</row>
    <row r="189" spans="1:20" x14ac:dyDescent="0.2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</row>
    <row r="190" spans="1:20" x14ac:dyDescent="0.25">
      <c r="A190" s="87"/>
      <c r="B190" s="87"/>
      <c r="C190" s="87"/>
      <c r="D190" s="87"/>
      <c r="E190" s="87"/>
      <c r="F190" s="87"/>
      <c r="G190" s="87"/>
      <c r="H190" s="100"/>
      <c r="I190" s="87"/>
      <c r="J190" s="87"/>
      <c r="K190" s="87"/>
      <c r="L190" s="87"/>
      <c r="M190" s="87"/>
      <c r="N190" s="87"/>
      <c r="O190" s="100"/>
      <c r="P190" s="87"/>
      <c r="Q190" s="87"/>
      <c r="R190" s="87"/>
      <c r="S190" s="87"/>
      <c r="T190" s="87"/>
    </row>
    <row r="191" spans="1:20" x14ac:dyDescent="0.2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</row>
    <row r="192" spans="1:20" x14ac:dyDescent="0.25">
      <c r="A192" s="87"/>
      <c r="B192" s="87"/>
      <c r="C192" s="87"/>
      <c r="D192" s="87"/>
      <c r="E192" s="87"/>
      <c r="F192" s="87"/>
      <c r="G192" s="87"/>
      <c r="H192" s="105"/>
      <c r="I192" s="105"/>
      <c r="J192" s="105"/>
      <c r="K192" s="228"/>
      <c r="L192" s="228"/>
      <c r="M192" s="234"/>
      <c r="N192" s="87"/>
      <c r="O192" s="234"/>
      <c r="P192" s="234"/>
      <c r="Q192" s="234"/>
      <c r="R192" s="87"/>
      <c r="S192" s="87"/>
      <c r="T192" s="87"/>
    </row>
    <row r="193" spans="1:20" x14ac:dyDescent="0.25">
      <c r="A193" s="87"/>
      <c r="B193" s="87"/>
      <c r="C193" s="100"/>
      <c r="D193" s="100"/>
      <c r="E193" s="100"/>
      <c r="F193" s="100"/>
      <c r="G193" s="87"/>
      <c r="H193" s="105"/>
      <c r="I193" s="105"/>
      <c r="J193" s="105"/>
      <c r="K193" s="228"/>
      <c r="L193" s="228"/>
      <c r="M193" s="234"/>
      <c r="N193" s="87"/>
      <c r="O193" s="234"/>
      <c r="P193" s="234"/>
      <c r="Q193" s="234"/>
      <c r="R193" s="87"/>
      <c r="S193" s="87"/>
      <c r="T193" s="87"/>
    </row>
    <row r="194" spans="1:20" x14ac:dyDescent="0.25">
      <c r="A194" s="87"/>
      <c r="B194" s="87"/>
      <c r="C194" s="157"/>
      <c r="D194" s="157"/>
      <c r="E194" s="157"/>
      <c r="F194" s="157"/>
      <c r="G194" s="87"/>
      <c r="H194" s="105"/>
      <c r="I194" s="105"/>
      <c r="J194" s="105"/>
      <c r="K194" s="228"/>
      <c r="L194" s="228"/>
      <c r="M194" s="234"/>
      <c r="N194" s="87"/>
      <c r="O194" s="234"/>
      <c r="P194" s="234"/>
      <c r="Q194" s="234"/>
      <c r="R194" s="87"/>
      <c r="S194" s="87"/>
      <c r="T194" s="87"/>
    </row>
    <row r="195" spans="1:20" x14ac:dyDescent="0.25">
      <c r="A195" s="87"/>
      <c r="B195" s="160"/>
      <c r="C195" s="157"/>
      <c r="D195" s="157"/>
      <c r="E195" s="157"/>
      <c r="F195" s="157"/>
      <c r="G195" s="229"/>
      <c r="H195" s="87"/>
      <c r="I195" s="87"/>
      <c r="J195" s="87"/>
      <c r="K195" s="157"/>
      <c r="L195" s="157"/>
      <c r="M195" s="100"/>
      <c r="N195" s="87"/>
      <c r="O195" s="87"/>
      <c r="P195" s="87"/>
      <c r="Q195" s="87"/>
      <c r="R195" s="87"/>
      <c r="S195" s="87"/>
      <c r="T195" s="87"/>
    </row>
    <row r="196" spans="1:20" x14ac:dyDescent="0.25">
      <c r="A196" s="87"/>
      <c r="B196" s="160"/>
      <c r="C196" s="157"/>
      <c r="D196" s="157"/>
      <c r="E196" s="157"/>
      <c r="F196" s="157"/>
      <c r="G196" s="232"/>
      <c r="H196" s="87"/>
      <c r="I196" s="87"/>
      <c r="J196" s="87"/>
      <c r="K196" s="157"/>
      <c r="L196" s="157"/>
      <c r="M196" s="100"/>
      <c r="N196" s="87"/>
      <c r="O196" s="87"/>
      <c r="P196" s="87"/>
      <c r="Q196" s="87"/>
      <c r="R196" s="87"/>
      <c r="S196" s="87"/>
      <c r="T196" s="87"/>
    </row>
    <row r="197" spans="1:20" x14ac:dyDescent="0.25">
      <c r="A197" s="87"/>
      <c r="B197" s="222"/>
      <c r="C197" s="157"/>
      <c r="D197" s="157"/>
      <c r="E197" s="157"/>
      <c r="F197" s="157"/>
      <c r="G197" s="229"/>
      <c r="H197" s="87"/>
      <c r="I197" s="87"/>
      <c r="J197" s="87"/>
      <c r="K197" s="157"/>
      <c r="L197" s="157"/>
      <c r="M197" s="100"/>
      <c r="N197" s="87"/>
      <c r="O197" s="87"/>
      <c r="P197" s="87"/>
      <c r="Q197" s="87"/>
      <c r="R197" s="87"/>
      <c r="S197" s="87"/>
      <c r="T197" s="87"/>
    </row>
    <row r="198" spans="1:20" x14ac:dyDescent="0.25">
      <c r="A198" s="87"/>
      <c r="B198" s="160"/>
      <c r="C198" s="157"/>
      <c r="D198" s="157"/>
      <c r="E198" s="157"/>
      <c r="F198" s="157"/>
      <c r="G198" s="229"/>
      <c r="H198" s="235"/>
      <c r="I198" s="235"/>
      <c r="J198" s="235"/>
      <c r="K198" s="157"/>
      <c r="L198" s="157"/>
      <c r="M198" s="100"/>
      <c r="N198" s="87"/>
      <c r="O198" s="235"/>
      <c r="P198" s="87"/>
      <c r="Q198" s="87"/>
      <c r="R198" s="87"/>
      <c r="S198" s="87"/>
      <c r="T198" s="87"/>
    </row>
    <row r="199" spans="1:20" x14ac:dyDescent="0.25">
      <c r="A199" s="87"/>
      <c r="B199" s="160"/>
      <c r="C199" s="157"/>
      <c r="D199" s="157"/>
      <c r="E199" s="157"/>
      <c r="F199" s="157"/>
      <c r="G199" s="229"/>
      <c r="H199" s="235"/>
      <c r="I199" s="235"/>
      <c r="J199" s="235"/>
      <c r="K199" s="157"/>
      <c r="L199" s="157"/>
      <c r="M199" s="100"/>
      <c r="N199" s="87"/>
      <c r="O199" s="87"/>
      <c r="P199" s="87"/>
      <c r="Q199" s="87"/>
      <c r="R199" s="87"/>
      <c r="S199" s="87"/>
      <c r="T199" s="87"/>
    </row>
    <row r="200" spans="1:20" x14ac:dyDescent="0.25">
      <c r="A200" s="87"/>
      <c r="B200" s="160"/>
      <c r="C200" s="157"/>
      <c r="D200" s="157"/>
      <c r="E200" s="157"/>
      <c r="F200" s="157"/>
      <c r="G200" s="229"/>
      <c r="H200" s="235"/>
      <c r="I200" s="235"/>
      <c r="J200" s="235"/>
      <c r="K200" s="157"/>
      <c r="L200" s="157"/>
      <c r="M200" s="100"/>
      <c r="N200" s="87"/>
      <c r="O200" s="87"/>
      <c r="P200" s="87"/>
      <c r="Q200" s="87"/>
      <c r="R200" s="87"/>
      <c r="S200" s="87"/>
      <c r="T200" s="87"/>
    </row>
    <row r="201" spans="1:20" x14ac:dyDescent="0.25">
      <c r="A201" s="87"/>
      <c r="B201" s="160"/>
      <c r="C201" s="157"/>
      <c r="D201" s="157"/>
      <c r="E201" s="157"/>
      <c r="F201" s="157"/>
      <c r="G201" s="229"/>
      <c r="H201" s="235"/>
      <c r="I201" s="235"/>
      <c r="J201" s="235"/>
      <c r="K201" s="157"/>
      <c r="L201" s="157"/>
      <c r="M201" s="100"/>
      <c r="N201" s="87"/>
      <c r="O201" s="87"/>
      <c r="P201" s="87"/>
      <c r="Q201" s="87"/>
      <c r="R201" s="87"/>
      <c r="S201" s="87"/>
      <c r="T201" s="87"/>
    </row>
    <row r="202" spans="1:20" x14ac:dyDescent="0.25">
      <c r="A202" s="87"/>
      <c r="B202" s="160"/>
      <c r="C202" s="157"/>
      <c r="D202" s="157"/>
      <c r="E202" s="157"/>
      <c r="F202" s="157"/>
      <c r="G202" s="229"/>
      <c r="H202" s="235"/>
      <c r="I202" s="235"/>
      <c r="J202" s="235"/>
      <c r="K202" s="157"/>
      <c r="L202" s="157"/>
      <c r="M202" s="100"/>
      <c r="N202" s="87"/>
      <c r="O202" s="87"/>
      <c r="P202" s="87"/>
      <c r="Q202" s="87"/>
      <c r="R202" s="87"/>
      <c r="S202" s="87"/>
      <c r="T202" s="87"/>
    </row>
    <row r="203" spans="1:20" x14ac:dyDescent="0.25">
      <c r="A203" s="87"/>
      <c r="B203" s="160"/>
      <c r="C203" s="157"/>
      <c r="D203" s="157"/>
      <c r="E203" s="157"/>
      <c r="F203" s="157"/>
      <c r="G203" s="229"/>
      <c r="H203" s="235"/>
      <c r="I203" s="235"/>
      <c r="J203" s="235"/>
      <c r="K203" s="157"/>
      <c r="L203" s="157"/>
      <c r="M203" s="100"/>
      <c r="N203" s="87"/>
      <c r="O203" s="87"/>
      <c r="P203" s="87"/>
      <c r="Q203" s="87"/>
      <c r="R203" s="87"/>
      <c r="S203" s="87"/>
      <c r="T203" s="87"/>
    </row>
    <row r="204" spans="1:20" x14ac:dyDescent="0.25">
      <c r="A204" s="87"/>
      <c r="B204" s="160"/>
      <c r="C204" s="157"/>
      <c r="D204" s="157"/>
      <c r="E204" s="157"/>
      <c r="F204" s="157"/>
      <c r="G204" s="229"/>
      <c r="H204" s="235"/>
      <c r="I204" s="235"/>
      <c r="J204" s="235"/>
      <c r="K204" s="157"/>
      <c r="L204" s="157"/>
      <c r="M204" s="100"/>
      <c r="N204" s="87"/>
      <c r="O204" s="87"/>
      <c r="P204" s="87"/>
      <c r="Q204" s="87"/>
      <c r="R204" s="87"/>
      <c r="S204" s="87"/>
      <c r="T204" s="87"/>
    </row>
    <row r="205" spans="1:20" x14ac:dyDescent="0.25">
      <c r="A205" s="87"/>
      <c r="B205" s="160"/>
      <c r="C205" s="157"/>
      <c r="D205" s="157"/>
      <c r="E205" s="157"/>
      <c r="F205" s="157"/>
      <c r="G205" s="229"/>
      <c r="H205" s="235"/>
      <c r="I205" s="235"/>
      <c r="J205" s="235"/>
      <c r="K205" s="157"/>
      <c r="L205" s="157"/>
      <c r="M205" s="100"/>
      <c r="N205" s="87"/>
      <c r="O205" s="87"/>
      <c r="P205" s="87"/>
      <c r="Q205" s="87"/>
      <c r="R205" s="87"/>
      <c r="S205" s="87"/>
      <c r="T205" s="87"/>
    </row>
    <row r="206" spans="1:20" x14ac:dyDescent="0.25">
      <c r="A206" s="87"/>
      <c r="B206" s="160"/>
      <c r="C206" s="157"/>
      <c r="D206" s="157"/>
      <c r="E206" s="157"/>
      <c r="F206" s="157"/>
      <c r="G206" s="229"/>
      <c r="H206" s="235"/>
      <c r="I206" s="235"/>
      <c r="J206" s="235"/>
      <c r="K206" s="157"/>
      <c r="L206" s="157"/>
      <c r="M206" s="100"/>
      <c r="N206" s="87"/>
      <c r="O206" s="87"/>
      <c r="P206" s="87"/>
      <c r="Q206" s="87"/>
      <c r="R206" s="87"/>
      <c r="S206" s="87"/>
      <c r="T206" s="87"/>
    </row>
    <row r="207" spans="1:20" x14ac:dyDescent="0.25">
      <c r="A207" s="87"/>
      <c r="B207" s="160"/>
      <c r="C207" s="157"/>
      <c r="D207" s="157"/>
      <c r="E207" s="157"/>
      <c r="F207" s="157"/>
      <c r="G207" s="229"/>
      <c r="H207" s="235"/>
      <c r="I207" s="235"/>
      <c r="J207" s="235"/>
      <c r="K207" s="157"/>
      <c r="L207" s="157"/>
      <c r="M207" s="100"/>
      <c r="N207" s="87"/>
      <c r="O207" s="87"/>
      <c r="P207" s="87"/>
      <c r="Q207" s="87"/>
      <c r="R207" s="87"/>
      <c r="S207" s="87"/>
      <c r="T207" s="87"/>
    </row>
    <row r="208" spans="1:20" x14ac:dyDescent="0.25">
      <c r="A208" s="87"/>
      <c r="B208" s="160"/>
      <c r="C208" s="157"/>
      <c r="D208" s="157"/>
      <c r="E208" s="157"/>
      <c r="F208" s="157"/>
      <c r="G208" s="229"/>
      <c r="H208" s="235"/>
      <c r="I208" s="235"/>
      <c r="J208" s="235"/>
      <c r="K208" s="157"/>
      <c r="L208" s="157"/>
      <c r="M208" s="100"/>
      <c r="N208" s="87"/>
      <c r="O208" s="87"/>
      <c r="P208" s="87"/>
      <c r="Q208" s="87"/>
      <c r="R208" s="87"/>
      <c r="S208" s="87"/>
      <c r="T208" s="87"/>
    </row>
    <row r="209" spans="1:20" x14ac:dyDescent="0.25">
      <c r="A209" s="87"/>
      <c r="B209" s="160"/>
      <c r="C209" s="157"/>
      <c r="D209" s="157"/>
      <c r="E209" s="157"/>
      <c r="F209" s="157"/>
      <c r="G209" s="229"/>
      <c r="H209" s="235"/>
      <c r="I209" s="235"/>
      <c r="J209" s="235"/>
      <c r="K209" s="157"/>
      <c r="L209" s="157"/>
      <c r="M209" s="100"/>
      <c r="N209" s="87"/>
      <c r="O209" s="87"/>
      <c r="P209" s="87"/>
      <c r="Q209" s="87"/>
      <c r="R209" s="87"/>
      <c r="S209" s="87"/>
      <c r="T209" s="87"/>
    </row>
    <row r="210" spans="1:20" x14ac:dyDescent="0.25">
      <c r="A210" s="87"/>
      <c r="B210" s="160"/>
      <c r="C210" s="157"/>
      <c r="D210" s="157"/>
      <c r="E210" s="157"/>
      <c r="F210" s="157"/>
      <c r="G210" s="229"/>
      <c r="H210" s="235"/>
      <c r="I210" s="235"/>
      <c r="J210" s="235"/>
      <c r="K210" s="157"/>
      <c r="L210" s="157"/>
      <c r="M210" s="100"/>
      <c r="N210" s="87"/>
      <c r="O210" s="87"/>
      <c r="P210" s="87"/>
      <c r="Q210" s="87"/>
      <c r="R210" s="87"/>
      <c r="S210" s="87"/>
      <c r="T210" s="87"/>
    </row>
    <row r="211" spans="1:20" x14ac:dyDescent="0.25">
      <c r="A211" s="87"/>
      <c r="B211" s="160"/>
      <c r="C211" s="157"/>
      <c r="D211" s="157"/>
      <c r="E211" s="157"/>
      <c r="F211" s="157"/>
      <c r="G211" s="229"/>
      <c r="H211" s="235"/>
      <c r="I211" s="235"/>
      <c r="J211" s="235"/>
      <c r="K211" s="157"/>
      <c r="L211" s="157"/>
      <c r="M211" s="100"/>
      <c r="N211" s="87"/>
      <c r="O211" s="87"/>
      <c r="P211" s="87"/>
      <c r="Q211" s="87"/>
      <c r="R211" s="87"/>
      <c r="S211" s="87"/>
      <c r="T211" s="87"/>
    </row>
    <row r="212" spans="1:20" x14ac:dyDescent="0.25">
      <c r="A212" s="87"/>
      <c r="B212" s="160"/>
      <c r="C212" s="215"/>
      <c r="D212" s="215"/>
      <c r="E212" s="215"/>
      <c r="F212" s="215"/>
      <c r="G212" s="229"/>
      <c r="H212" s="101"/>
      <c r="I212" s="101"/>
      <c r="J212" s="236"/>
      <c r="K212" s="100"/>
      <c r="L212" s="100"/>
      <c r="M212" s="100"/>
      <c r="N212" s="87"/>
      <c r="O212" s="100"/>
      <c r="P212" s="100"/>
      <c r="Q212" s="100"/>
      <c r="R212" s="87"/>
      <c r="S212" s="87"/>
      <c r="T212" s="87"/>
    </row>
    <row r="213" spans="1:20" x14ac:dyDescent="0.25">
      <c r="A213" s="87"/>
      <c r="B213" s="160"/>
      <c r="C213" s="157"/>
      <c r="D213" s="157"/>
      <c r="E213" s="157"/>
      <c r="F213" s="15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</row>
    <row r="214" spans="1:20" x14ac:dyDescent="0.25">
      <c r="A214" s="87"/>
      <c r="B214" s="237"/>
      <c r="C214" s="157"/>
      <c r="D214" s="157"/>
      <c r="E214" s="157"/>
      <c r="F214" s="15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</row>
    <row r="215" spans="1:20" x14ac:dyDescent="0.25">
      <c r="A215" s="87"/>
      <c r="B215" s="237"/>
      <c r="C215" s="157"/>
      <c r="D215" s="157"/>
      <c r="E215" s="157"/>
      <c r="F215" s="15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</row>
    <row r="216" spans="1:20" x14ac:dyDescent="0.25">
      <c r="B216" s="238"/>
      <c r="C216" s="210"/>
      <c r="D216" s="210"/>
      <c r="E216" s="210"/>
      <c r="F216" s="210"/>
      <c r="G216" s="98"/>
      <c r="H216" s="98"/>
      <c r="I216" s="98"/>
      <c r="J216" s="98"/>
    </row>
    <row r="217" spans="1:20" x14ac:dyDescent="0.25">
      <c r="B217" s="239"/>
      <c r="C217" s="210"/>
      <c r="D217" s="210"/>
      <c r="E217" s="210"/>
      <c r="F217" s="210"/>
      <c r="G217" s="98"/>
      <c r="H217" s="98"/>
      <c r="I217" s="98"/>
      <c r="J217" s="98"/>
    </row>
    <row r="218" spans="1:20" x14ac:dyDescent="0.25">
      <c r="B218" s="239"/>
      <c r="C218" s="210"/>
      <c r="D218" s="210"/>
      <c r="E218" s="210"/>
      <c r="F218" s="210"/>
      <c r="G218" s="98"/>
      <c r="H218" s="98"/>
      <c r="I218" s="98"/>
      <c r="J218" s="98"/>
    </row>
    <row r="219" spans="1:20" x14ac:dyDescent="0.25">
      <c r="B219" s="58"/>
      <c r="C219" s="210"/>
      <c r="D219" s="210"/>
      <c r="E219" s="210"/>
      <c r="F219" s="210"/>
      <c r="G219" s="98"/>
      <c r="H219" s="98"/>
      <c r="I219" s="98"/>
      <c r="J219" s="98"/>
    </row>
    <row r="220" spans="1:20" x14ac:dyDescent="0.25">
      <c r="B220" s="98"/>
      <c r="C220" s="98"/>
      <c r="D220" s="98"/>
      <c r="E220" s="98"/>
      <c r="F220" s="98"/>
      <c r="G220" s="98"/>
      <c r="H220" s="98"/>
      <c r="I220" s="98"/>
      <c r="J220" s="98"/>
    </row>
    <row r="221" spans="1:20" x14ac:dyDescent="0.25">
      <c r="B221" s="98"/>
      <c r="C221" s="98"/>
      <c r="D221" s="98"/>
      <c r="E221" s="98"/>
      <c r="F221" s="98"/>
      <c r="G221" s="98"/>
      <c r="H221" s="98"/>
      <c r="I221" s="98"/>
      <c r="J221" s="98"/>
    </row>
    <row r="222" spans="1:20" x14ac:dyDescent="0.25">
      <c r="B222" s="98"/>
      <c r="C222" s="210"/>
      <c r="D222" s="210"/>
      <c r="E222" s="210"/>
      <c r="F222" s="210"/>
      <c r="G222" s="98"/>
      <c r="H222" s="98"/>
      <c r="I222" s="98"/>
      <c r="J222" s="98"/>
    </row>
    <row r="223" spans="1:20" x14ac:dyDescent="0.25">
      <c r="B223" s="98"/>
      <c r="C223" s="210"/>
      <c r="D223" s="210"/>
      <c r="E223" s="210"/>
      <c r="F223" s="210"/>
      <c r="G223" s="98"/>
      <c r="H223" s="98"/>
      <c r="I223" s="98"/>
      <c r="J223" s="98"/>
    </row>
    <row r="224" spans="1:20" x14ac:dyDescent="0.25">
      <c r="B224" s="98"/>
      <c r="C224" s="210"/>
      <c r="D224" s="210"/>
      <c r="E224" s="210"/>
      <c r="F224" s="210"/>
      <c r="G224" s="98"/>
      <c r="H224" s="98"/>
      <c r="I224" s="98"/>
      <c r="J224" s="98"/>
    </row>
    <row r="225" spans="2:10" x14ac:dyDescent="0.25">
      <c r="B225" s="98"/>
      <c r="C225" s="210"/>
      <c r="D225" s="210"/>
      <c r="E225" s="210"/>
      <c r="F225" s="210"/>
      <c r="G225" s="98"/>
      <c r="H225" s="98"/>
      <c r="I225" s="98"/>
      <c r="J225" s="98"/>
    </row>
    <row r="226" spans="2:10" x14ac:dyDescent="0.25">
      <c r="B226" s="98"/>
      <c r="C226" s="210"/>
      <c r="D226" s="210"/>
      <c r="E226" s="210"/>
      <c r="F226" s="210"/>
      <c r="G226" s="98"/>
      <c r="H226" s="98"/>
      <c r="I226" s="98"/>
      <c r="J226" s="98"/>
    </row>
    <row r="227" spans="2:10" x14ac:dyDescent="0.25">
      <c r="B227" s="98"/>
      <c r="C227" s="210"/>
      <c r="D227" s="210"/>
      <c r="E227" s="210"/>
      <c r="F227" s="210"/>
      <c r="G227" s="98"/>
      <c r="H227" s="98"/>
      <c r="I227" s="98"/>
      <c r="J227" s="98"/>
    </row>
    <row r="228" spans="2:10" x14ac:dyDescent="0.25">
      <c r="B228" s="98"/>
      <c r="C228" s="210"/>
      <c r="D228" s="210"/>
      <c r="E228" s="210"/>
      <c r="F228" s="210"/>
      <c r="G228" s="98"/>
      <c r="H228" s="98"/>
      <c r="I228" s="98"/>
      <c r="J228" s="98"/>
    </row>
    <row r="229" spans="2:10" x14ac:dyDescent="0.25">
      <c r="B229" s="98"/>
      <c r="C229" s="210"/>
      <c r="D229" s="210"/>
      <c r="E229" s="210"/>
      <c r="F229" s="210"/>
      <c r="G229" s="98"/>
      <c r="H229" s="98"/>
      <c r="I229" s="98"/>
      <c r="J229" s="98"/>
    </row>
    <row r="230" spans="2:10" x14ac:dyDescent="0.25">
      <c r="B230" s="98"/>
      <c r="C230" s="210"/>
      <c r="D230" s="210"/>
      <c r="E230" s="210"/>
      <c r="F230" s="210"/>
      <c r="G230" s="98"/>
      <c r="H230" s="98"/>
      <c r="I230" s="98"/>
      <c r="J230" s="98"/>
    </row>
    <row r="231" spans="2:10" x14ac:dyDescent="0.25">
      <c r="B231" s="98"/>
      <c r="C231" s="210"/>
      <c r="D231" s="210"/>
      <c r="E231" s="210"/>
      <c r="F231" s="210"/>
      <c r="G231" s="98"/>
      <c r="H231" s="98"/>
      <c r="I231" s="98"/>
      <c r="J231" s="98"/>
    </row>
    <row r="232" spans="2:10" x14ac:dyDescent="0.25">
      <c r="B232" s="98"/>
      <c r="C232" s="210"/>
      <c r="D232" s="210"/>
      <c r="E232" s="210"/>
      <c r="F232" s="210"/>
      <c r="G232" s="98"/>
      <c r="H232" s="98"/>
      <c r="I232" s="98"/>
      <c r="J232" s="98"/>
    </row>
    <row r="233" spans="2:10" x14ac:dyDescent="0.25">
      <c r="B233" s="98"/>
      <c r="C233" s="210"/>
      <c r="D233" s="210"/>
      <c r="E233" s="210"/>
      <c r="F233" s="210"/>
      <c r="G233" s="98"/>
      <c r="H233" s="98"/>
      <c r="I233" s="98"/>
      <c r="J233" s="98"/>
    </row>
    <row r="234" spans="2:10" x14ac:dyDescent="0.25">
      <c r="B234" s="98"/>
      <c r="C234" s="210"/>
      <c r="D234" s="210"/>
      <c r="E234" s="210"/>
      <c r="F234" s="210"/>
      <c r="G234" s="98"/>
      <c r="H234" s="98"/>
      <c r="I234" s="98"/>
      <c r="J234" s="98"/>
    </row>
    <row r="235" spans="2:10" x14ac:dyDescent="0.25">
      <c r="B235" s="98"/>
      <c r="C235" s="210"/>
      <c r="D235" s="210"/>
      <c r="E235" s="210"/>
      <c r="F235" s="210"/>
      <c r="G235" s="98"/>
      <c r="H235" s="98"/>
      <c r="I235" s="98"/>
      <c r="J235" s="98"/>
    </row>
    <row r="236" spans="2:10" x14ac:dyDescent="0.25">
      <c r="B236" s="98"/>
      <c r="C236" s="210"/>
      <c r="D236" s="210"/>
      <c r="E236" s="210"/>
      <c r="F236" s="210"/>
      <c r="G236" s="98"/>
      <c r="H236" s="98"/>
      <c r="I236" s="98"/>
      <c r="J236" s="98"/>
    </row>
    <row r="237" spans="2:10" x14ac:dyDescent="0.25">
      <c r="B237" s="98"/>
      <c r="C237" s="210"/>
      <c r="D237" s="210"/>
      <c r="E237" s="210"/>
      <c r="F237" s="210"/>
      <c r="G237" s="98"/>
      <c r="H237" s="98"/>
      <c r="I237" s="98"/>
      <c r="J237" s="98"/>
    </row>
    <row r="238" spans="2:10" x14ac:dyDescent="0.25">
      <c r="B238" s="98"/>
      <c r="C238" s="210"/>
      <c r="D238" s="210"/>
      <c r="E238" s="210"/>
      <c r="F238" s="210"/>
      <c r="G238" s="98"/>
      <c r="H238" s="98"/>
      <c r="I238" s="98"/>
      <c r="J238" s="98"/>
    </row>
    <row r="239" spans="2:10" x14ac:dyDescent="0.25">
      <c r="B239" s="98"/>
      <c r="C239" s="210"/>
      <c r="D239" s="210"/>
      <c r="E239" s="210"/>
      <c r="F239" s="210"/>
      <c r="G239" s="98"/>
      <c r="H239" s="98"/>
      <c r="I239" s="98"/>
      <c r="J239" s="98"/>
    </row>
    <row r="240" spans="2:10" x14ac:dyDescent="0.25">
      <c r="B240" s="98"/>
      <c r="C240" s="210"/>
      <c r="D240" s="210"/>
      <c r="E240" s="210"/>
      <c r="F240" s="210"/>
      <c r="G240" s="98"/>
      <c r="H240" s="98"/>
      <c r="I240" s="98"/>
      <c r="J240" s="98"/>
    </row>
    <row r="241" spans="2:18" x14ac:dyDescent="0.25">
      <c r="B241" s="98"/>
      <c r="C241" s="210"/>
      <c r="D241" s="210"/>
      <c r="E241" s="210"/>
      <c r="F241" s="210"/>
      <c r="G241" s="98"/>
      <c r="H241" s="98"/>
      <c r="I241" s="98"/>
      <c r="J241" s="98"/>
    </row>
    <row r="242" spans="2:18" x14ac:dyDescent="0.25">
      <c r="B242" s="98"/>
      <c r="C242" s="210"/>
      <c r="D242" s="210"/>
      <c r="E242" s="210"/>
      <c r="F242" s="210"/>
      <c r="G242" s="98"/>
      <c r="H242" s="98"/>
      <c r="I242" s="98"/>
      <c r="J242" s="98"/>
    </row>
    <row r="243" spans="2:18" x14ac:dyDescent="0.25">
      <c r="B243" s="98"/>
      <c r="C243" s="98"/>
      <c r="D243" s="98"/>
      <c r="E243" s="98"/>
      <c r="F243" s="98"/>
      <c r="G243" s="98"/>
      <c r="H243" s="98"/>
      <c r="I243" s="98"/>
      <c r="J243" s="98"/>
    </row>
    <row r="244" spans="2:18" x14ac:dyDescent="0.25">
      <c r="B244" s="98"/>
      <c r="C244" s="98"/>
      <c r="D244" s="98"/>
      <c r="E244" s="98"/>
      <c r="F244" s="98"/>
      <c r="G244" s="98"/>
      <c r="H244" s="98"/>
      <c r="I244" s="98"/>
      <c r="J244" s="87"/>
      <c r="K244" s="87"/>
      <c r="L244" s="87"/>
      <c r="M244" s="87"/>
      <c r="N244" s="87"/>
      <c r="O244" s="87"/>
      <c r="P244" s="87"/>
      <c r="Q244" s="87"/>
      <c r="R244" s="87"/>
    </row>
    <row r="245" spans="2:18" x14ac:dyDescent="0.25">
      <c r="B245" s="98"/>
      <c r="C245" s="98"/>
      <c r="D245" s="98"/>
      <c r="E245" s="98"/>
      <c r="F245" s="98"/>
      <c r="G245" s="98"/>
      <c r="H245" s="98"/>
      <c r="I245" s="98"/>
      <c r="J245" s="87"/>
      <c r="K245" s="87"/>
      <c r="L245" s="87"/>
      <c r="M245" s="87"/>
      <c r="N245" s="87"/>
      <c r="O245" s="87"/>
      <c r="P245" s="87"/>
      <c r="Q245" s="87"/>
      <c r="R245" s="87"/>
    </row>
    <row r="246" spans="2:18" x14ac:dyDescent="0.25">
      <c r="B246" s="98"/>
      <c r="C246" s="58"/>
      <c r="D246" s="211"/>
      <c r="E246" s="211"/>
      <c r="F246" s="211"/>
      <c r="G246" s="211"/>
      <c r="H246" s="211"/>
      <c r="I246" s="211"/>
      <c r="J246" s="157"/>
      <c r="K246" s="100"/>
      <c r="L246" s="100"/>
      <c r="M246" s="100"/>
      <c r="N246" s="100"/>
      <c r="O246" s="100"/>
      <c r="P246" s="240"/>
      <c r="Q246" s="99"/>
      <c r="R246" s="87"/>
    </row>
    <row r="247" spans="2:18" x14ac:dyDescent="0.25">
      <c r="B247" s="98"/>
      <c r="C247" s="58"/>
      <c r="D247" s="210"/>
      <c r="E247" s="210"/>
      <c r="F247" s="210"/>
      <c r="G247" s="210"/>
      <c r="H247" s="210"/>
      <c r="I247" s="210"/>
      <c r="J247" s="157"/>
      <c r="K247" s="157"/>
      <c r="L247" s="157"/>
      <c r="M247" s="157"/>
      <c r="N247" s="157"/>
      <c r="O247" s="157"/>
      <c r="P247" s="157"/>
      <c r="Q247" s="157"/>
      <c r="R247" s="87"/>
    </row>
    <row r="248" spans="2:18" x14ac:dyDescent="0.25">
      <c r="B248" s="98"/>
      <c r="C248" s="241"/>
      <c r="D248" s="210"/>
      <c r="E248" s="210"/>
      <c r="F248" s="210"/>
      <c r="G248" s="210"/>
      <c r="H248" s="210"/>
      <c r="I248" s="210"/>
      <c r="J248" s="157"/>
      <c r="K248" s="157"/>
      <c r="L248" s="157"/>
      <c r="M248" s="157"/>
      <c r="N248" s="157"/>
      <c r="O248" s="157"/>
      <c r="P248" s="157"/>
      <c r="Q248" s="157"/>
      <c r="R248" s="87"/>
    </row>
    <row r="249" spans="2:18" x14ac:dyDescent="0.25">
      <c r="B249" s="98"/>
      <c r="C249" s="241"/>
      <c r="D249" s="210"/>
      <c r="E249" s="210"/>
      <c r="F249" s="210"/>
      <c r="G249" s="210"/>
      <c r="H249" s="210"/>
      <c r="I249" s="210"/>
      <c r="J249" s="157"/>
      <c r="K249" s="157"/>
      <c r="L249" s="157"/>
      <c r="M249" s="157"/>
      <c r="N249" s="157"/>
      <c r="O249" s="157"/>
      <c r="P249" s="157"/>
      <c r="Q249" s="157"/>
      <c r="R249" s="87"/>
    </row>
    <row r="250" spans="2:18" x14ac:dyDescent="0.25">
      <c r="B250" s="98"/>
      <c r="C250" s="239"/>
      <c r="D250" s="210"/>
      <c r="E250" s="210"/>
      <c r="F250" s="210"/>
      <c r="G250" s="210"/>
      <c r="H250" s="210"/>
      <c r="I250" s="210"/>
      <c r="J250" s="157"/>
      <c r="K250" s="157"/>
      <c r="L250" s="157"/>
      <c r="M250" s="157"/>
      <c r="N250" s="157"/>
      <c r="O250" s="157"/>
      <c r="P250" s="157"/>
      <c r="Q250" s="157"/>
      <c r="R250" s="87"/>
    </row>
    <row r="251" spans="2:18" x14ac:dyDescent="0.25">
      <c r="B251" s="98"/>
      <c r="C251" s="241"/>
      <c r="D251" s="210"/>
      <c r="E251" s="210"/>
      <c r="F251" s="210"/>
      <c r="G251" s="210"/>
      <c r="H251" s="210"/>
      <c r="I251" s="210"/>
      <c r="J251" s="157"/>
      <c r="K251" s="157"/>
      <c r="L251" s="157"/>
      <c r="M251" s="157"/>
      <c r="N251" s="157"/>
      <c r="O251" s="157"/>
      <c r="P251" s="157"/>
      <c r="Q251" s="157"/>
      <c r="R251" s="87"/>
    </row>
    <row r="252" spans="2:18" x14ac:dyDescent="0.25">
      <c r="B252" s="98"/>
      <c r="C252" s="241"/>
      <c r="D252" s="210"/>
      <c r="E252" s="210"/>
      <c r="F252" s="210"/>
      <c r="G252" s="210"/>
      <c r="H252" s="210"/>
      <c r="I252" s="210"/>
      <c r="J252" s="157"/>
      <c r="K252" s="157"/>
      <c r="L252" s="157"/>
      <c r="M252" s="157"/>
      <c r="N252" s="157"/>
      <c r="O252" s="157"/>
      <c r="P252" s="157"/>
      <c r="Q252" s="157"/>
      <c r="R252" s="87"/>
    </row>
    <row r="253" spans="2:18" x14ac:dyDescent="0.25">
      <c r="B253" s="98"/>
      <c r="C253" s="241"/>
      <c r="D253" s="210"/>
      <c r="E253" s="210"/>
      <c r="F253" s="210"/>
      <c r="G253" s="210"/>
      <c r="H253" s="210"/>
      <c r="I253" s="210"/>
      <c r="J253" s="157"/>
      <c r="K253" s="157"/>
      <c r="L253" s="157"/>
      <c r="M253" s="157"/>
      <c r="N253" s="157"/>
      <c r="O253" s="157"/>
      <c r="P253" s="157"/>
      <c r="Q253" s="157"/>
      <c r="R253" s="87"/>
    </row>
    <row r="254" spans="2:18" x14ac:dyDescent="0.25">
      <c r="B254" s="98"/>
      <c r="C254" s="241"/>
      <c r="D254" s="210"/>
      <c r="E254" s="210"/>
      <c r="F254" s="210"/>
      <c r="G254" s="210"/>
      <c r="H254" s="210"/>
      <c r="I254" s="210"/>
      <c r="J254" s="157"/>
      <c r="K254" s="157"/>
      <c r="L254" s="157"/>
      <c r="M254" s="157"/>
      <c r="N254" s="157"/>
      <c r="O254" s="157"/>
      <c r="P254" s="157"/>
      <c r="Q254" s="157"/>
      <c r="R254" s="87"/>
    </row>
    <row r="255" spans="2:18" x14ac:dyDescent="0.25">
      <c r="B255" s="98"/>
      <c r="C255" s="241"/>
      <c r="D255" s="210"/>
      <c r="E255" s="210"/>
      <c r="F255" s="210"/>
      <c r="G255" s="210"/>
      <c r="H255" s="210"/>
      <c r="I255" s="210"/>
      <c r="J255" s="157"/>
      <c r="K255" s="157"/>
      <c r="L255" s="157"/>
      <c r="M255" s="157"/>
      <c r="N255" s="157"/>
      <c r="O255" s="157"/>
      <c r="P255" s="157"/>
      <c r="Q255" s="157"/>
      <c r="R255" s="87"/>
    </row>
    <row r="256" spans="2:18" x14ac:dyDescent="0.25">
      <c r="B256" s="98"/>
      <c r="C256" s="241"/>
      <c r="D256" s="210"/>
      <c r="E256" s="210"/>
      <c r="F256" s="210"/>
      <c r="G256" s="210"/>
      <c r="H256" s="210"/>
      <c r="I256" s="210"/>
      <c r="J256" s="157"/>
      <c r="K256" s="157"/>
      <c r="L256" s="157"/>
      <c r="M256" s="157"/>
      <c r="N256" s="157"/>
      <c r="O256" s="157"/>
      <c r="P256" s="157"/>
      <c r="Q256" s="157"/>
      <c r="R256" s="87"/>
    </row>
    <row r="257" spans="2:18" x14ac:dyDescent="0.25">
      <c r="B257" s="98"/>
      <c r="C257" s="241"/>
      <c r="D257" s="210"/>
      <c r="E257" s="210"/>
      <c r="F257" s="210"/>
      <c r="G257" s="210"/>
      <c r="H257" s="210"/>
      <c r="I257" s="210"/>
      <c r="J257" s="157"/>
      <c r="K257" s="157"/>
      <c r="L257" s="157"/>
      <c r="M257" s="157"/>
      <c r="N257" s="157"/>
      <c r="O257" s="157"/>
      <c r="P257" s="157"/>
      <c r="Q257" s="157"/>
      <c r="R257" s="87"/>
    </row>
    <row r="258" spans="2:18" x14ac:dyDescent="0.25">
      <c r="B258" s="98"/>
      <c r="C258" s="241"/>
      <c r="D258" s="210"/>
      <c r="E258" s="210"/>
      <c r="F258" s="210"/>
      <c r="G258" s="210"/>
      <c r="H258" s="210"/>
      <c r="I258" s="210"/>
      <c r="J258" s="157"/>
      <c r="K258" s="157"/>
      <c r="L258" s="157"/>
      <c r="M258" s="157"/>
      <c r="N258" s="157"/>
      <c r="O258" s="157"/>
      <c r="P258" s="157"/>
      <c r="Q258" s="157"/>
      <c r="R258" s="87"/>
    </row>
    <row r="259" spans="2:18" x14ac:dyDescent="0.25">
      <c r="B259" s="98"/>
      <c r="C259" s="241"/>
      <c r="D259" s="210"/>
      <c r="E259" s="210"/>
      <c r="F259" s="210"/>
      <c r="G259" s="210"/>
      <c r="H259" s="210"/>
      <c r="I259" s="210"/>
      <c r="J259" s="157"/>
      <c r="K259" s="157"/>
      <c r="L259" s="157"/>
      <c r="M259" s="157"/>
      <c r="N259" s="157"/>
      <c r="O259" s="157"/>
      <c r="P259" s="157"/>
      <c r="Q259" s="157"/>
      <c r="R259" s="87"/>
    </row>
    <row r="260" spans="2:18" x14ac:dyDescent="0.25">
      <c r="B260" s="98"/>
      <c r="C260" s="241"/>
      <c r="D260" s="210"/>
      <c r="E260" s="210"/>
      <c r="F260" s="210"/>
      <c r="G260" s="210"/>
      <c r="H260" s="210"/>
      <c r="I260" s="210"/>
      <c r="J260" s="157"/>
      <c r="K260" s="157"/>
      <c r="L260" s="157"/>
      <c r="M260" s="157"/>
      <c r="N260" s="157"/>
      <c r="O260" s="157"/>
      <c r="P260" s="157"/>
      <c r="Q260" s="157"/>
      <c r="R260" s="87"/>
    </row>
    <row r="261" spans="2:18" x14ac:dyDescent="0.25">
      <c r="B261" s="98"/>
      <c r="C261" s="241"/>
      <c r="D261" s="210"/>
      <c r="E261" s="210"/>
      <c r="F261" s="210"/>
      <c r="G261" s="210"/>
      <c r="H261" s="210"/>
      <c r="I261" s="210"/>
      <c r="J261" s="157"/>
      <c r="K261" s="157"/>
      <c r="L261" s="157"/>
      <c r="M261" s="157"/>
      <c r="N261" s="157"/>
      <c r="O261" s="157"/>
      <c r="P261" s="157"/>
      <c r="Q261" s="157"/>
      <c r="R261" s="87"/>
    </row>
    <row r="262" spans="2:18" x14ac:dyDescent="0.25">
      <c r="B262" s="98"/>
      <c r="C262" s="241"/>
      <c r="D262" s="210"/>
      <c r="E262" s="210"/>
      <c r="F262" s="210"/>
      <c r="G262" s="210"/>
      <c r="H262" s="210"/>
      <c r="I262" s="210"/>
      <c r="J262" s="157"/>
      <c r="K262" s="157"/>
      <c r="L262" s="157"/>
      <c r="M262" s="157"/>
      <c r="N262" s="157"/>
      <c r="O262" s="157"/>
      <c r="P262" s="157"/>
      <c r="Q262" s="157"/>
      <c r="R262" s="87"/>
    </row>
    <row r="263" spans="2:18" x14ac:dyDescent="0.25">
      <c r="B263" s="98"/>
      <c r="C263" s="241"/>
      <c r="D263" s="210"/>
      <c r="E263" s="210"/>
      <c r="F263" s="210"/>
      <c r="G263" s="210"/>
      <c r="H263" s="210"/>
      <c r="I263" s="210"/>
      <c r="J263" s="157"/>
      <c r="K263" s="157"/>
      <c r="L263" s="157"/>
      <c r="M263" s="157"/>
      <c r="N263" s="157"/>
      <c r="O263" s="157"/>
      <c r="P263" s="157"/>
      <c r="Q263" s="157"/>
      <c r="R263" s="87"/>
    </row>
    <row r="264" spans="2:18" x14ac:dyDescent="0.25">
      <c r="B264" s="98"/>
      <c r="C264" s="238"/>
      <c r="D264" s="210"/>
      <c r="E264" s="210"/>
      <c r="F264" s="210"/>
      <c r="G264" s="210"/>
      <c r="H264" s="210"/>
      <c r="I264" s="210"/>
      <c r="J264" s="157"/>
      <c r="K264" s="157"/>
      <c r="L264" s="157"/>
      <c r="M264" s="157"/>
      <c r="N264" s="157"/>
      <c r="O264" s="157"/>
      <c r="P264" s="157"/>
      <c r="Q264" s="157"/>
      <c r="R264" s="87"/>
    </row>
    <row r="265" spans="2:18" x14ac:dyDescent="0.25">
      <c r="B265" s="98"/>
      <c r="C265" s="23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87"/>
    </row>
    <row r="266" spans="2:18" x14ac:dyDescent="0.25">
      <c r="B266" s="98"/>
      <c r="C266" s="23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87"/>
    </row>
    <row r="267" spans="2:18" x14ac:dyDescent="0.25">
      <c r="B267" s="98"/>
      <c r="C267" s="222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87"/>
    </row>
    <row r="268" spans="2:18" x14ac:dyDescent="0.25">
      <c r="C268" s="99"/>
      <c r="D268" s="101"/>
      <c r="E268" s="183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83"/>
      <c r="Q268" s="183"/>
      <c r="R268" s="87"/>
    </row>
    <row r="269" spans="2:18" x14ac:dyDescent="0.25"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</row>
    <row r="270" spans="2:18" x14ac:dyDescent="0.25"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</row>
    <row r="271" spans="2:18" x14ac:dyDescent="0.25"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</row>
  </sheetData>
  <mergeCells count="17">
    <mergeCell ref="B1:J1"/>
    <mergeCell ref="G7:G8"/>
    <mergeCell ref="B31:B32"/>
    <mergeCell ref="C31:E31"/>
    <mergeCell ref="G55:G56"/>
    <mergeCell ref="B2:J2"/>
    <mergeCell ref="H55:J55"/>
    <mergeCell ref="G31:G32"/>
    <mergeCell ref="H31:J31"/>
    <mergeCell ref="B7:B8"/>
    <mergeCell ref="C7:E7"/>
    <mergeCell ref="H7:J7"/>
    <mergeCell ref="B55:B56"/>
    <mergeCell ref="C55:E55"/>
    <mergeCell ref="G4:J5"/>
    <mergeCell ref="G29:J29"/>
    <mergeCell ref="B28:E29"/>
  </mergeCells>
  <printOptions horizontalCentered="1"/>
  <pageMargins left="0.23622047244094491" right="0.23622047244094491" top="0.55118110236220474" bottom="0.35433070866141736" header="0.31496062992125984" footer="0.31496062992125984"/>
  <pageSetup scale="60" orientation="portrait" r:id="rId1"/>
  <headerFooter>
    <oddFooter>&amp;C&amp;"-,Cursiva"&amp;K01+049Depto. Estadísticas y Gestión de la Información - Servicio de Salud Osorno</oddFooter>
  </headerFooter>
  <ignoredErrors>
    <ignoredError sqref="H9:I12 J15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AÑOS</vt:lpstr>
      <vt:lpstr>OSORNO</vt:lpstr>
      <vt:lpstr>PUERTO OCTAY</vt:lpstr>
      <vt:lpstr>PURRANQUE</vt:lpstr>
      <vt:lpstr>PUYEHUE</vt:lpstr>
      <vt:lpstr>RÍO NEGRO</vt:lpstr>
      <vt:lpstr>SAN JUAN COSTA</vt:lpstr>
      <vt:lpstr>SAN PABLO</vt:lpstr>
      <vt:lpstr>OSORNO!Área_de_impresión</vt:lpstr>
      <vt:lpstr>'PUERTO OCTAY'!Área_de_impresión</vt:lpstr>
      <vt:lpstr>PURRANQUE!Área_de_impresión</vt:lpstr>
      <vt:lpstr>PUYEHUE!Área_de_impresión</vt:lpstr>
      <vt:lpstr>'RÍO NEGRO'!Área_de_impresión</vt:lpstr>
      <vt:lpstr>'SAN JUAN COSTA'!Área_de_impresión</vt:lpstr>
      <vt:lpstr>'SAN PABLO'!Área_de_impresión</vt:lpstr>
      <vt:lpstr>OSORNO!Títulos_a_imprimir</vt:lpstr>
    </vt:vector>
  </TitlesOfParts>
  <Company>Propietario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Irma Jofre</cp:lastModifiedBy>
  <cp:lastPrinted>2017-11-23T21:10:24Z</cp:lastPrinted>
  <dcterms:created xsi:type="dcterms:W3CDTF">2012-01-06T14:59:33Z</dcterms:created>
  <dcterms:modified xsi:type="dcterms:W3CDTF">2020-09-25T14:24:29Z</dcterms:modified>
</cp:coreProperties>
</file>